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oletta.kielbasa\Desktop\Audyt 2020\KOnso\"/>
    </mc:Choice>
  </mc:AlternateContent>
  <bookViews>
    <workbookView xWindow="0" yWindow="0" windowWidth="28800" windowHeight="14100" activeTab="1"/>
  </bookViews>
  <sheets>
    <sheet name="Nota 21,22" sheetId="1" r:id="rId1"/>
    <sheet name="Nota 23" sheetId="7" r:id="rId2"/>
    <sheet name="Nota 24" sheetId="2" r:id="rId3"/>
    <sheet name="Nota 25-27" sheetId="3" r:id="rId4"/>
    <sheet name="Nota 28" sheetId="9" r:id="rId5"/>
    <sheet name="Nota 29-33" sheetId="4" r:id="rId6"/>
    <sheet name="Nota 34-36" sheetId="5" r:id="rId7"/>
    <sheet name="Nota 37,38" sheetId="6" r:id="rId8"/>
    <sheet name="Nota 39" sheetId="8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1">'Nota 23'!$A$1:$C$49</definedName>
    <definedName name="_xlnm.Print_Area" localSheetId="2">'Nota 24'!$A$1:$H$65</definedName>
    <definedName name="_xlnm.Print_Area" localSheetId="4">'Nota 28'!$A$1:$D$21</definedName>
    <definedName name="_xlnm.Print_Area" localSheetId="5">'Nota 29-33'!$A$1:$E$33</definedName>
    <definedName name="_xlnm.Print_Area" localSheetId="6">'Nota 34-36'!$A$1:$I$15</definedName>
    <definedName name="_xlnm.Print_Area" localSheetId="8">'Nota 39'!$A$1:$P$9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7" l="1"/>
  <c r="C49" i="7" s="1"/>
  <c r="C46" i="7"/>
  <c r="C43" i="7"/>
  <c r="C42" i="7"/>
  <c r="C41" i="7"/>
  <c r="C40" i="7"/>
  <c r="C39" i="7"/>
  <c r="C38" i="7" s="1"/>
  <c r="C37" i="7"/>
  <c r="C36" i="7"/>
  <c r="C35" i="7"/>
  <c r="C34" i="7"/>
  <c r="C33" i="7"/>
  <c r="C29" i="7" s="1"/>
  <c r="C32" i="7"/>
  <c r="C31" i="7"/>
  <c r="C30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 s="1"/>
  <c r="C9" i="7"/>
  <c r="C8" i="7" s="1"/>
  <c r="C7" i="7"/>
  <c r="C5" i="7"/>
  <c r="C6" i="7" s="1"/>
  <c r="C19" i="9"/>
  <c r="C20" i="9" s="1"/>
  <c r="B19" i="9"/>
  <c r="B18" i="9"/>
  <c r="B17" i="9"/>
  <c r="B16" i="9"/>
  <c r="B20" i="9" s="1"/>
  <c r="C10" i="9"/>
  <c r="B8" i="9"/>
  <c r="B7" i="9"/>
  <c r="B10" i="9" s="1"/>
  <c r="D13" i="6" l="1"/>
  <c r="C13" i="6"/>
  <c r="C20" i="4"/>
  <c r="C19" i="4"/>
  <c r="C11" i="4"/>
  <c r="C7" i="4"/>
  <c r="D11" i="3"/>
  <c r="C11" i="3"/>
  <c r="C63" i="2"/>
  <c r="C62" i="2" s="1"/>
  <c r="C60" i="2"/>
  <c r="C59" i="2"/>
  <c r="H52" i="2"/>
  <c r="C52" i="2"/>
  <c r="E52" i="2" s="1"/>
  <c r="H51" i="2"/>
  <c r="E51" i="2"/>
  <c r="C51" i="2"/>
  <c r="F50" i="2"/>
  <c r="H50" i="2" s="1"/>
  <c r="E50" i="2"/>
  <c r="C50" i="2"/>
  <c r="F49" i="2"/>
  <c r="H49" i="2" s="1"/>
  <c r="E49" i="2"/>
  <c r="C49" i="2"/>
  <c r="F48" i="2"/>
  <c r="H48" i="2" s="1"/>
  <c r="E48" i="2"/>
  <c r="C48" i="2"/>
  <c r="F47" i="2"/>
  <c r="H47" i="2" s="1"/>
  <c r="E47" i="2"/>
  <c r="D37" i="2"/>
  <c r="C37" i="2"/>
  <c r="D35" i="2"/>
  <c r="C35" i="2"/>
  <c r="D32" i="2"/>
  <c r="D31" i="2" s="1"/>
  <c r="C32" i="2"/>
  <c r="C31" i="2" s="1"/>
  <c r="H21" i="2"/>
  <c r="E21" i="2"/>
  <c r="H20" i="2"/>
  <c r="C20" i="2"/>
  <c r="E20" i="2" s="1"/>
  <c r="F19" i="2"/>
  <c r="H19" i="2" s="1"/>
  <c r="C19" i="2"/>
  <c r="E19" i="2" s="1"/>
  <c r="F18" i="2"/>
  <c r="H18" i="2" s="1"/>
  <c r="C18" i="2"/>
  <c r="E18" i="2" s="1"/>
  <c r="F17" i="2"/>
  <c r="H17" i="2" s="1"/>
  <c r="C17" i="2"/>
  <c r="E17" i="2" s="1"/>
  <c r="F16" i="2"/>
  <c r="H16" i="2" s="1"/>
  <c r="C16" i="2"/>
  <c r="E16" i="2" s="1"/>
  <c r="F15" i="2"/>
  <c r="H15" i="2" s="1"/>
  <c r="C15" i="2"/>
  <c r="E15" i="2" s="1"/>
  <c r="F14" i="2"/>
  <c r="H14" i="2" s="1"/>
  <c r="C14" i="2"/>
  <c r="E14" i="2" s="1"/>
  <c r="F13" i="2"/>
  <c r="H13" i="2" s="1"/>
  <c r="C13" i="2"/>
  <c r="E13" i="2" s="1"/>
  <c r="F12" i="2"/>
  <c r="H12" i="2" s="1"/>
  <c r="C12" i="2"/>
  <c r="E12" i="2" s="1"/>
  <c r="F11" i="2"/>
  <c r="H11" i="2" s="1"/>
  <c r="C11" i="2"/>
  <c r="E11" i="2" s="1"/>
  <c r="F10" i="2"/>
  <c r="H10" i="2" s="1"/>
  <c r="C10" i="2"/>
  <c r="E10" i="2" s="1"/>
  <c r="F9" i="2"/>
  <c r="H9" i="2" s="1"/>
  <c r="C9" i="2"/>
  <c r="E9" i="2" s="1"/>
  <c r="F8" i="2"/>
  <c r="H8" i="2" s="1"/>
  <c r="C8" i="2"/>
  <c r="E8" i="2" s="1"/>
  <c r="F7" i="2"/>
  <c r="H7" i="2" s="1"/>
  <c r="C7" i="2"/>
  <c r="E7" i="2" s="1"/>
  <c r="D66" i="1"/>
  <c r="D65" i="1"/>
  <c r="C65" i="1"/>
  <c r="C59" i="1" s="1"/>
  <c r="C57" i="1" s="1"/>
  <c r="C67" i="1" s="1"/>
  <c r="D64" i="1"/>
  <c r="D61" i="1"/>
  <c r="D60" i="1"/>
  <c r="F44" i="1"/>
  <c r="F49" i="1" s="1"/>
  <c r="E44" i="1"/>
  <c r="D44" i="1"/>
  <c r="C44" i="1"/>
  <c r="C43" i="1"/>
  <c r="C42" i="1"/>
  <c r="C41" i="1"/>
  <c r="F38" i="1"/>
  <c r="E38" i="1"/>
  <c r="D38" i="1"/>
  <c r="D49" i="1" s="1"/>
  <c r="C26" i="1"/>
  <c r="C25" i="1"/>
  <c r="C22" i="1"/>
  <c r="C21" i="1"/>
  <c r="D20" i="1"/>
  <c r="D18" i="1" s="1"/>
  <c r="D28" i="1" s="1"/>
  <c r="F13" i="1"/>
  <c r="E13" i="1"/>
  <c r="D13" i="1"/>
  <c r="C12" i="1"/>
  <c r="C11" i="1"/>
  <c r="C10" i="1"/>
  <c r="C9" i="1"/>
  <c r="C34" i="2" l="1"/>
  <c r="D34" i="2"/>
  <c r="D39" i="2" s="1"/>
  <c r="C46" i="2"/>
  <c r="C54" i="2" s="1"/>
  <c r="E6" i="2"/>
  <c r="E23" i="2" s="1"/>
  <c r="C25" i="2" s="1"/>
  <c r="C6" i="2"/>
  <c r="C23" i="2" s="1"/>
  <c r="E46" i="2"/>
  <c r="E54" i="2" s="1"/>
  <c r="F6" i="2"/>
  <c r="F23" i="2" s="1"/>
  <c r="H46" i="2"/>
  <c r="H54" i="2" s="1"/>
  <c r="C65" i="2"/>
  <c r="H6" i="2"/>
  <c r="H23" i="2" s="1"/>
  <c r="F25" i="2" s="1"/>
  <c r="C30" i="2" s="1"/>
  <c r="F46" i="2"/>
  <c r="F54" i="2" s="1"/>
  <c r="E49" i="1"/>
  <c r="D59" i="1"/>
  <c r="D57" i="1" s="1"/>
  <c r="D67" i="1" s="1"/>
  <c r="C13" i="1"/>
  <c r="C20" i="1"/>
  <c r="C18" i="1" s="1"/>
  <c r="C28" i="1" s="1"/>
  <c r="C38" i="1"/>
  <c r="C49" i="1" s="1"/>
  <c r="C39" i="2" l="1"/>
</calcChain>
</file>

<file path=xl/sharedStrings.xml><?xml version="1.0" encoding="utf-8"?>
<sst xmlns="http://schemas.openxmlformats.org/spreadsheetml/2006/main" count="403" uniqueCount="266">
  <si>
    <t>Nota Nr 21</t>
  </si>
  <si>
    <t>Przychody finansowe - odsetki za 2020 rok</t>
  </si>
  <si>
    <t>Lp.</t>
  </si>
  <si>
    <t>Rodzaj aktywu</t>
  </si>
  <si>
    <t>Przychody z odsetek w danym roku obrotowym</t>
  </si>
  <si>
    <t>Odsetki naliczone i zrealizowane</t>
  </si>
  <si>
    <t>Odsetki naliczone lecz nie zrealizowane</t>
  </si>
  <si>
    <t>do 3 miesięcy</t>
  </si>
  <si>
    <t>od 3 do 12 miesięcy</t>
  </si>
  <si>
    <t>powyżej 12 miesięcy</t>
  </si>
  <si>
    <t>1</t>
  </si>
  <si>
    <t>Dłużne instrumenty finansowe</t>
  </si>
  <si>
    <t>2</t>
  </si>
  <si>
    <t>Udzielone pożyczki</t>
  </si>
  <si>
    <t>3</t>
  </si>
  <si>
    <t>Należności</t>
  </si>
  <si>
    <t>4</t>
  </si>
  <si>
    <t>Środki pieniężne</t>
  </si>
  <si>
    <t>5</t>
  </si>
  <si>
    <t xml:space="preserve">Odsetki budżetowe </t>
  </si>
  <si>
    <t>6</t>
  </si>
  <si>
    <t>Inne aktywa</t>
  </si>
  <si>
    <t>RAZEM</t>
  </si>
  <si>
    <t>Aktualizacja wartości inwestycji</t>
  </si>
  <si>
    <t>Tytuł nie występuje.</t>
  </si>
  <si>
    <t>Tytuł</t>
  </si>
  <si>
    <t>a</t>
  </si>
  <si>
    <t>b</t>
  </si>
  <si>
    <t>c</t>
  </si>
  <si>
    <t>d</t>
  </si>
  <si>
    <t>Inne przychody finansowe</t>
  </si>
  <si>
    <t>1.01.-31.12.2020 r.</t>
  </si>
  <si>
    <t>1.01.-31.12.2019 r.</t>
  </si>
  <si>
    <t>Inne przychody finasowe, w tym:</t>
  </si>
  <si>
    <t>odwrócenie odpisów aktualizujących odsetki od należności</t>
  </si>
  <si>
    <t>nadwyżka dodatnich różnic kursowych nad ujemnymi w tym:</t>
  </si>
  <si>
    <t>dodatnie różnice kursowe zrealizowane z br.</t>
  </si>
  <si>
    <t>ujemne różnice kursowe zrealizowane z br.</t>
  </si>
  <si>
    <t>dodatnie różnice kursowe zrealizowane z lat ubiegłych</t>
  </si>
  <si>
    <t>ujemne różnice kursowe zrealizowane z lat ubiegłych</t>
  </si>
  <si>
    <t xml:space="preserve">dodatnie różnice kursowe niezrealizowane z wyceny </t>
  </si>
  <si>
    <t>ujemne różnice kursowe niezrealizowane z wyceny</t>
  </si>
  <si>
    <t>zysk z z tytułu rozchodu aktywów finansowych</t>
  </si>
  <si>
    <t>Nota Nr 22</t>
  </si>
  <si>
    <t>Koszty finansowe - odsetki za 2020 rok</t>
  </si>
  <si>
    <t>Rodzaj zobowiązania</t>
  </si>
  <si>
    <t>Koszty z tytułu odsetek w danym roku obrotowym</t>
  </si>
  <si>
    <t>Odsetki naliczone i zapłacone</t>
  </si>
  <si>
    <t>Odsetki naliczone lecz nie zapłacone</t>
  </si>
  <si>
    <t>Zobowiązania przeznaczone do obrotu</t>
  </si>
  <si>
    <t>Pozostałe zobowiązania krótkoterminowe, w tym:</t>
  </si>
  <si>
    <t>kredyty i pożyczki</t>
  </si>
  <si>
    <t>dłużne papiery wartościowe</t>
  </si>
  <si>
    <t>zobowiązania finansowe inne</t>
  </si>
  <si>
    <t>zobowiązania z tytułu dostaw i usług</t>
  </si>
  <si>
    <t>inne zobowiązania krótkoterminowe</t>
  </si>
  <si>
    <t>Długoterminowe zobowiązania finansowe</t>
  </si>
  <si>
    <t>Inne pasywa</t>
  </si>
  <si>
    <t>Tytuł nie występuje</t>
  </si>
  <si>
    <t>Inne koszty finansowe</t>
  </si>
  <si>
    <t>Pozostałe, w tym:</t>
  </si>
  <si>
    <t>odpisy aktualizujące odsetki od należności</t>
  </si>
  <si>
    <t>nadwyżka ujemnych różnic kursowych nad dodatnimi - w tym:</t>
  </si>
  <si>
    <t>inne</t>
  </si>
  <si>
    <t>Nota Nr 23</t>
  </si>
  <si>
    <t>Podatek dochodowy</t>
  </si>
  <si>
    <t>Wartość</t>
  </si>
  <si>
    <t>A</t>
  </si>
  <si>
    <t>Zysk brutto Grupy</t>
  </si>
  <si>
    <t>B</t>
  </si>
  <si>
    <t>Korekty konsolidacyjne</t>
  </si>
  <si>
    <t>C</t>
  </si>
  <si>
    <t>Zysk brutto</t>
  </si>
  <si>
    <t xml:space="preserve">D </t>
  </si>
  <si>
    <t>Przychody zwolnione z podatku</t>
  </si>
  <si>
    <t>-</t>
  </si>
  <si>
    <t>odsetki budżetowe</t>
  </si>
  <si>
    <t>E</t>
  </si>
  <si>
    <t>Przychody niepodlegające opodatkowaniu w roku bieżącym</t>
  </si>
  <si>
    <t>rozwiązanie odpisów aktualizujących należności</t>
  </si>
  <si>
    <t>przychody z tytułu otrzymanych dotacji</t>
  </si>
  <si>
    <t>korekta przychodów rozliczanych w czasie</t>
  </si>
  <si>
    <t>faktury sprzedaży zaksięgowane w roku bieżącym, a dotyczą roku ubiegłego</t>
  </si>
  <si>
    <t>naliczone kary i odsetki</t>
  </si>
  <si>
    <t>wycena różnic kursowych</t>
  </si>
  <si>
    <t>F</t>
  </si>
  <si>
    <t>Przychody podlegające opodatkowaniu w roku bieżącym, ujęte w księgach rachunkowych lat ubiegłych</t>
  </si>
  <si>
    <t>opłaty za dostawę urządzeń i serwis</t>
  </si>
  <si>
    <t>odsetki i kary zaksięgowane w 2019, a otrzymane w roku bieżącym</t>
  </si>
  <si>
    <t>pozostałe przychody</t>
  </si>
  <si>
    <t>G</t>
  </si>
  <si>
    <t xml:space="preserve"> Koszty niestanowiące kosztów uzyskania przychodów (trwałe różnice pomiędzy zyskiem/stratą dla celów rachunkowych a dochodem/stratą dla celów podatkowych), w tym:</t>
  </si>
  <si>
    <t>materiały</t>
  </si>
  <si>
    <t>usługi obce</t>
  </si>
  <si>
    <t>PFRON</t>
  </si>
  <si>
    <t>kary i odszkodowania</t>
  </si>
  <si>
    <t>koszty bezpośrednie poprzedniego roku, a zaksięgowane w roku bieżącym</t>
  </si>
  <si>
    <t>pozostałe koszty</t>
  </si>
  <si>
    <t>H</t>
  </si>
  <si>
    <t>Koszty nieuznawane za koszty uzyskania przychodów w bieżącym roku, w tym:</t>
  </si>
  <si>
    <t>rezerwa urlopowa, emerytalna, wycena aktuarialna</t>
  </si>
  <si>
    <t>rezerwa na świadczenia po okresie zatrudnienia</t>
  </si>
  <si>
    <t>rezerwa na premię</t>
  </si>
  <si>
    <t>rezerwa na koszty roku bieżącego</t>
  </si>
  <si>
    <t>odpisy aktualizujące magazyn inwestycyjny</t>
  </si>
  <si>
    <t>odpisy aktualizujące należności</t>
  </si>
  <si>
    <t>amortyzacja bilansowa</t>
  </si>
  <si>
    <t>koszty dotacji</t>
  </si>
  <si>
    <t>I</t>
  </si>
  <si>
    <t>Koszty uznawane za koszty uzyskania przychodów w roku bieżącym ujęte w księgach lat ubiegłych, w tym:</t>
  </si>
  <si>
    <t>opłata za częstotliwość zaksięgowana w 2019 r., a zapłacona w 2020</t>
  </si>
  <si>
    <t>amortyzacja podatkowa</t>
  </si>
  <si>
    <t>wartość netto wg stawek podatkowych sprzedanych/zlikwidowanych składników majątku trwałego</t>
  </si>
  <si>
    <t>koszty podatkowe związane ze sprzedażą roku bieżącego</t>
  </si>
  <si>
    <t>J</t>
  </si>
  <si>
    <t>Inne zmiany podstawy opodatkowania</t>
  </si>
  <si>
    <t>K</t>
  </si>
  <si>
    <t>Podstawa opodatkowania podatkiem dochodowym</t>
  </si>
  <si>
    <t>L</t>
  </si>
  <si>
    <t>M</t>
  </si>
  <si>
    <t>Korekta roku 2019</t>
  </si>
  <si>
    <t>N</t>
  </si>
  <si>
    <t>Zmiana stanu aktywa i rezerwy z tytułu podatku odroczonego</t>
  </si>
  <si>
    <t>O</t>
  </si>
  <si>
    <t>Razem podatek dochodowy wykazany w RZiS</t>
  </si>
  <si>
    <t>Nota Nr 24</t>
  </si>
  <si>
    <t>Aktywa z tytułu odroczonego podatku dochodowego</t>
  </si>
  <si>
    <t>Tytuł ujemnych różnic przejściowych</t>
  </si>
  <si>
    <t xml:space="preserve">              Kwota różnicy przejściowej</t>
  </si>
  <si>
    <t>Aktywa z tytułu podatku na 31.12.2020 r.</t>
  </si>
  <si>
    <t>Aktywa z tytułu podatku na 31.12.2019 r.</t>
  </si>
  <si>
    <t>stan na 31.12.2020 r.</t>
  </si>
  <si>
    <t>stawka podatku</t>
  </si>
  <si>
    <t>stan na 31.12.2019 r.</t>
  </si>
  <si>
    <t xml:space="preserve">Odniesionych na wynik finansowy </t>
  </si>
  <si>
    <t>rezerwa urlopowa</t>
  </si>
  <si>
    <t>badanie bilansu</t>
  </si>
  <si>
    <t>sprawy sądowe</t>
  </si>
  <si>
    <t>rozliczenia z TP S.A. i koszty sieci</t>
  </si>
  <si>
    <t>e</t>
  </si>
  <si>
    <t>odpis na należności</t>
  </si>
  <si>
    <t>f</t>
  </si>
  <si>
    <t>rezerwa na świadczenia emerytalne</t>
  </si>
  <si>
    <t>g</t>
  </si>
  <si>
    <t>h</t>
  </si>
  <si>
    <t>i</t>
  </si>
  <si>
    <t>rezrwa na koszty obsługi prawnej</t>
  </si>
  <si>
    <t>j</t>
  </si>
  <si>
    <t>rezerwy na koszty eksploatacji</t>
  </si>
  <si>
    <t>k</t>
  </si>
  <si>
    <t>korekta przychodów zrealizowanych podatkowo</t>
  </si>
  <si>
    <t>l</t>
  </si>
  <si>
    <t xml:space="preserve">różnica wartości podatkowej i bilansowej środków trwałych </t>
  </si>
  <si>
    <t>m</t>
  </si>
  <si>
    <t>aktualizacja wartości zapasów</t>
  </si>
  <si>
    <t>n</t>
  </si>
  <si>
    <t>strata podatkowa</t>
  </si>
  <si>
    <t>o</t>
  </si>
  <si>
    <t>pozostałe</t>
  </si>
  <si>
    <t>Odniesionych na kapitał własny</t>
  </si>
  <si>
    <t>X</t>
  </si>
  <si>
    <t>odpis aktualizujący wartość aktywa</t>
  </si>
  <si>
    <t>wartość netto aktywów z tytułu podatku odroczonego wykazanych w bilansie</t>
  </si>
  <si>
    <t xml:space="preserve">Zmiany w stanie aktywów z tytułu odroczonego podatku dochodowego </t>
  </si>
  <si>
    <t>Wartość brutto</t>
  </si>
  <si>
    <t>Odpis aktualizujący</t>
  </si>
  <si>
    <t>Bilans otwarcia</t>
  </si>
  <si>
    <t xml:space="preserve">Zwiększenia </t>
  </si>
  <si>
    <t>w korespondencji z wynikiem finansowym</t>
  </si>
  <si>
    <t>utworzenie aktywów</t>
  </si>
  <si>
    <t xml:space="preserve">Zmniejszenia </t>
  </si>
  <si>
    <t>rozwiązanie aktywów</t>
  </si>
  <si>
    <t>w korespondencji z kapitałami</t>
  </si>
  <si>
    <t>Bilans zamknięcia</t>
  </si>
  <si>
    <t>Rezerwa  z tytułu odroczonego podatku dochodowego</t>
  </si>
  <si>
    <t xml:space="preserve">Tytuł dodatnich różnic przejściowych </t>
  </si>
  <si>
    <t>Rezerwa z tytułu podatku na 31.12.2020 r.</t>
  </si>
  <si>
    <t>Rezerwa z tytułu podatku na 31.12.2019 r.</t>
  </si>
  <si>
    <t xml:space="preserve">stawka podatku </t>
  </si>
  <si>
    <t>Odniesionych na wynik finansowy</t>
  </si>
  <si>
    <t>naliczone kary umowne</t>
  </si>
  <si>
    <t>odsetki należne</t>
  </si>
  <si>
    <t>róznice kursowe</t>
  </si>
  <si>
    <t xml:space="preserve">naliczone odsetki z tyt.dostaw </t>
  </si>
  <si>
    <t>korekta kosztów zrealizowanych podatkowo</t>
  </si>
  <si>
    <t>przchody niezrealizowane podatkowo</t>
  </si>
  <si>
    <t>Zmiany w stanie rezerw z tytułu podatku odroczonego od 1.01.2020 r. do 31.12.2020 r.</t>
  </si>
  <si>
    <t>utworzenie rezerwy</t>
  </si>
  <si>
    <t>rozwiązanie rezerwy</t>
  </si>
  <si>
    <t>korekta z tytułu zmiany stawki</t>
  </si>
  <si>
    <t>Nota Nr 25</t>
  </si>
  <si>
    <t xml:space="preserve">Informacje o przychodach, kosztach i wynikach działalności zaniechanej w roku obrotowym 
lub przewidzianej do zaniechania w roku następnym </t>
  </si>
  <si>
    <t>Tytuł nie wystąpił.</t>
  </si>
  <si>
    <t>Nota Nr 26</t>
  </si>
  <si>
    <t>Nakłady na niefinansowe aktywa trwałe</t>
  </si>
  <si>
    <t>poniesione w bieżącym roku</t>
  </si>
  <si>
    <t>planowane do poniesienia</t>
  </si>
  <si>
    <t>w tym na ochronę środowiska</t>
  </si>
  <si>
    <t>Nota Nr 27</t>
  </si>
  <si>
    <t>Kursy przyjęte do wyceny aktywów i pasywów w walutach obcych</t>
  </si>
  <si>
    <t>31.12.2020 r.</t>
  </si>
  <si>
    <t>31.12.2019 r.</t>
  </si>
  <si>
    <t>kurs EUR/PLN</t>
  </si>
  <si>
    <t>kurs USD/PLN</t>
  </si>
  <si>
    <t>kurs GBP/PLN</t>
  </si>
  <si>
    <t>Do wyceny transakcji ujętych w rachunku zysków i strat zastosowano kursy wymiany walut obowiązujące na dzień dokonania transakcji zgodnie z zasadami opisanymi we wprowadzeniu do sprawozdania finansowego.</t>
  </si>
  <si>
    <t>Nota Nr 29</t>
  </si>
  <si>
    <t>Zatrudnienie</t>
  </si>
  <si>
    <t>Informacje o przeciętnym w roku obrotowym zatrudnieniu z podziałem na grupy zawodowe.</t>
  </si>
  <si>
    <t>Wyszczególnienie</t>
  </si>
  <si>
    <t>Razem liczba zatrudnionych (osoby)</t>
  </si>
  <si>
    <t>Pracownicy ogółem, z tego:</t>
  </si>
  <si>
    <t>Zarząd</t>
  </si>
  <si>
    <t>Administracja</t>
  </si>
  <si>
    <t>Dział sprzedaży</t>
  </si>
  <si>
    <t>Pozostali</t>
  </si>
  <si>
    <t>Nota Nr 30</t>
  </si>
  <si>
    <t>Wynagrodzenia członków organów nadzorczych</t>
  </si>
  <si>
    <t>Informacje o wynagrodzeniach, łącznie z wynagrodzeniem z zysku, wypłaconych lub należnych osobom wchodzącym w skład organów zarządzających i nadzorujących Spółek handlowych (dla każdej grupy osobno).</t>
  </si>
  <si>
    <t>Rada Nadzorcza</t>
  </si>
  <si>
    <t>Nota Nr 31</t>
  </si>
  <si>
    <t>Informacje o pożyczkach udzielonych osobom wchodzącym w skład  organów zarządzających i nadzorujących</t>
  </si>
  <si>
    <t>Nie udzielano pożyczek osobom wchodzącym w skład organów zarządzających i nadzorujących.</t>
  </si>
  <si>
    <t>Nota Nr 32</t>
  </si>
  <si>
    <t>Informacje o znaczących zdarzeniach dotyczących lat ubiegłych, ujętych w sprawozdaniu finansowym roku obrotowego, w tym o rodzaju popełnionego błędu oraz kwocie korekty.</t>
  </si>
  <si>
    <t>Nota Nr 33</t>
  </si>
  <si>
    <t>Informacje o znaczących zdarzeniach , jakie nastąpiły po dniu bilansowym , a nie uwzględnionych w sprawozdaniu finansowym.</t>
  </si>
  <si>
    <t xml:space="preserve">Zarząd </t>
  </si>
  <si>
    <t>Nota Nr 34</t>
  </si>
  <si>
    <t>Zmiany zasad (polityki) rachunkowości w roku obrotowym</t>
  </si>
  <si>
    <t xml:space="preserve">Zgodnie z Uchwała nr 2 Spółka dokonała przejścia od 1 stycznia 2020 roku na ustwę o rachunkowości. </t>
  </si>
  <si>
    <t xml:space="preserve">Nowe zasady zostały opisane w sprawozdaniu w polityce rachunkowości. </t>
  </si>
  <si>
    <t>Nota Nr 35</t>
  </si>
  <si>
    <t>Porównywalność danych finansowych</t>
  </si>
  <si>
    <t>Informacje liczbowe zapewniają porównywalność danych sprawozdania finansowego za rok poprzedzający ze sprawozdaniem za rok bieżący. Dane porównywalne zawarte są w notach dotyczących przekształcenia bilansu otwarcia.</t>
  </si>
  <si>
    <t>Nota Nr 36</t>
  </si>
  <si>
    <t>Informacje o wspólnych przedsięwzięciach, które nie podlegają konsolidacji.</t>
  </si>
  <si>
    <t>Nota Nr 37</t>
  </si>
  <si>
    <t>Możliwość kontynuacji działalności</t>
  </si>
  <si>
    <t>Nota Nr 38</t>
  </si>
  <si>
    <t>Informacje o wynagrodzeniu biegłego rewidenta lub podmiotu uprawnionego do badania sprawozdań finansowych, wypłaconym lub należnym za rok obrotowy</t>
  </si>
  <si>
    <t>Rodzaj usług</t>
  </si>
  <si>
    <t>Wysokość wynagrodzenia 31.12.2020 r</t>
  </si>
  <si>
    <t>Wysokość wynagrodzenia 31.12.2019 r</t>
  </si>
  <si>
    <t>Obowiązkowe badanie rocznego sprawozdania finansowego</t>
  </si>
  <si>
    <t>Inne usługi poświadczające</t>
  </si>
  <si>
    <t>Usługi doradztwa podatkowego</t>
  </si>
  <si>
    <t>Pozostałe usługi- audyt sprwaozdań MSSF i pakietów sprawozdawczych</t>
  </si>
  <si>
    <t>Nie występują zdarzenia wskazujące na zagrożenie możliwości kontynuacji działalności przez GK Exatel w dającej się przewidzieć przyszłości.</t>
  </si>
  <si>
    <t>Istotne zdarzenia oraz zdarzenia po zakończeniu okresu sprawozdawczego</t>
  </si>
  <si>
    <t>W związku z ogłoszonym w roku 2020 w Polsce stanem epidemii, trwającym do chwili publikacji niniejszego sprawozdania finansowego, Zarząd GK Exatel nie zauważył znaczącego wpływu tego stanu na sprzedaż, jednak nie można przewiedzieć przyszłych skutków np. w zakresie łańcucha dostaw jednostki. W chwili obecnej ogłoszony stan epidemii nie skutuje wystąpieniem ewentualnego braku zachowania ciągłości działania GK Exatel, jednakże Zarząd będzie nadal monitorować potencjalny wpływ i podejmie wszelkie możliwe kroki, aby złagodzić wszelkie negatywne skutki dla Grupy Kapitałowej Exatel. W związku z przedłużającym sie stanem epidemi w krajach europejskich, zmianie restrykcji ze strony organów Państwowych oraz istotnym negatywnym wpływem na gospodarkę kraju, istnieje znaczace ryzyko spadku przychodów, zachowania ciągłości świadczenia usług w związku z nieobecnościami pracowników przebywających na kwarantannie badź w izolacji domowej, pogorszenia spłacalności należności oraz wpłynąć negatywnie na wyniki finansowe GK Exatel w roku 2021. Przy czym wpływ ten nie jest na tyle znaczący, iż mógłby wpłynąć na kontynuację działalności Grupy Kapitałowej Exatel.</t>
  </si>
  <si>
    <t>Poniesione w ostatnim roku i planowane na następny rok nakłady na niefinansowe aktywa trwałe.</t>
  </si>
  <si>
    <t>Nota Nr 28</t>
  </si>
  <si>
    <t>Objaśnienia do rachunku przepływów pieniężnych</t>
  </si>
  <si>
    <t>Zysk/strata na działalności inwestycyjnej</t>
  </si>
  <si>
    <t>Rok zakończony 31 grudnia 2020</t>
  </si>
  <si>
    <t>Rok zakończony 31 grudnia 2019</t>
  </si>
  <si>
    <t>Zysk/strata na sprzedaży rzeczowych aktywów trwalych</t>
  </si>
  <si>
    <t>Wartość zlikwidowanych rzeczowych aktywów trwałych</t>
  </si>
  <si>
    <t>Zysk/strata z odpisania zaniechanej inwestycji</t>
  </si>
  <si>
    <t>RAZEM ZMIANA STANU ZOBOWIĄZAŃ</t>
  </si>
  <si>
    <t>Zmiana stanu zobowiązań z wyjątkiem kredytów i pożyczek</t>
  </si>
  <si>
    <t>Zmiana stanu zobowiązań z tytułu dostaw i usług</t>
  </si>
  <si>
    <t>Zmiana stanu zobowiązań z tytułu świadczeń pracowniczch</t>
  </si>
  <si>
    <t>Zmiana stanu pozostałych zobowiązań</t>
  </si>
  <si>
    <t>Korekta o zmianę stanu zobowiązań inwestycyjnych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</si>
</sst>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;\(#,##0.00\)"/>
    <numFmt numFmtId="166" formatCode="#,##0.0000_ ;\-#,##0.0000\ "/>
    <numFmt numFmtId="167" formatCode="#,##0.0000;\(#,##0.0000\)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8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0"/>
      <name val="Arial"/>
      <family val="2"/>
    </font>
    <font>
      <b/>
      <sz val="10"/>
      <name val="Times New Roman CE"/>
      <charset val="238"/>
    </font>
    <font>
      <i/>
      <sz val="10"/>
      <name val="Times New Roman CE"/>
      <charset val="238"/>
    </font>
    <font>
      <sz val="10"/>
      <name val="Arial CE"/>
      <charset val="238"/>
    </font>
    <font>
      <sz val="8"/>
      <name val="Times New Roman CE"/>
      <family val="1"/>
      <charset val="238"/>
    </font>
    <font>
      <sz val="10"/>
      <name val="Calibri"/>
      <family val="2"/>
      <charset val="238"/>
      <scheme val="minor"/>
    </font>
    <font>
      <sz val="12"/>
      <name val="Times New Roman CE"/>
      <family val="1"/>
      <charset val="238"/>
    </font>
    <font>
      <sz val="10"/>
      <name val="Times New Roman"/>
      <family val="1"/>
    </font>
    <font>
      <b/>
      <i/>
      <sz val="12"/>
      <name val="Times New Roman"/>
      <family val="1"/>
    </font>
    <font>
      <b/>
      <i/>
      <sz val="12"/>
      <name val="Arial"/>
      <family val="2"/>
    </font>
    <font>
      <sz val="10"/>
      <name val="Times New Roman"/>
      <family val="1"/>
      <charset val="238"/>
    </font>
    <font>
      <b/>
      <sz val="12"/>
      <name val="Times New Roman"/>
      <family val="1"/>
    </font>
    <font>
      <b/>
      <i/>
      <sz val="10"/>
      <name val="Times New Roman"/>
      <family val="1"/>
      <charset val="238"/>
    </font>
    <font>
      <b/>
      <sz val="10"/>
      <color rgb="FF231F20"/>
      <name val="Times New Roman"/>
      <family val="1"/>
      <charset val="238"/>
    </font>
    <font>
      <sz val="10"/>
      <color rgb="FF231F20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 style="double">
        <color theme="1"/>
      </left>
      <right/>
      <top/>
      <bottom/>
      <diagonal/>
    </border>
    <border>
      <left/>
      <right style="double">
        <color theme="1"/>
      </right>
      <top/>
      <bottom/>
      <diagonal/>
    </border>
    <border>
      <left style="double">
        <color theme="1"/>
      </left>
      <right/>
      <top/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/>
      <right style="double">
        <color theme="1"/>
      </right>
      <top/>
      <bottom style="double">
        <color theme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1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1" fillId="0" borderId="0"/>
  </cellStyleXfs>
  <cellXfs count="280">
    <xf numFmtId="0" fontId="0" fillId="0" borderId="0" xfId="0"/>
    <xf numFmtId="164" fontId="3" fillId="0" borderId="0" xfId="0" applyNumberFormat="1" applyFont="1"/>
    <xf numFmtId="49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wrapText="1"/>
    </xf>
    <xf numFmtId="164" fontId="2" fillId="4" borderId="0" xfId="0" applyNumberFormat="1" applyFont="1" applyFill="1" applyBorder="1" applyAlignment="1">
      <alignment wrapText="1"/>
    </xf>
    <xf numFmtId="164" fontId="3" fillId="4" borderId="0" xfId="0" applyNumberFormat="1" applyFont="1" applyFill="1" applyBorder="1"/>
    <xf numFmtId="164" fontId="3" fillId="4" borderId="0" xfId="0" applyNumberFormat="1" applyFont="1" applyFill="1"/>
    <xf numFmtId="164" fontId="4" fillId="4" borderId="0" xfId="0" applyNumberFormat="1" applyFont="1" applyFill="1" applyBorder="1" applyAlignment="1">
      <alignment horizontal="left" wrapText="1"/>
    </xf>
    <xf numFmtId="164" fontId="4" fillId="4" borderId="0" xfId="0" applyNumberFormat="1" applyFont="1" applyFill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4" borderId="2" xfId="4" applyNumberFormat="1" applyFont="1" applyFill="1" applyBorder="1" applyAlignment="1">
      <alignment horizontal="center" vertical="center"/>
    </xf>
    <xf numFmtId="164" fontId="5" fillId="4" borderId="3" xfId="4" applyNumberFormat="1" applyFont="1" applyFill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center" vertical="center" wrapText="1"/>
    </xf>
    <xf numFmtId="164" fontId="5" fillId="4" borderId="0" xfId="4" applyNumberFormat="1" applyFont="1" applyFill="1" applyBorder="1" applyAlignment="1">
      <alignment horizontal="center" vertical="center" wrapText="1"/>
    </xf>
    <xf numFmtId="164" fontId="5" fillId="4" borderId="5" xfId="4" applyNumberFormat="1" applyFont="1" applyFill="1" applyBorder="1" applyAlignment="1">
      <alignment horizontal="center" vertical="center" wrapText="1"/>
    </xf>
    <xf numFmtId="164" fontId="5" fillId="4" borderId="0" xfId="4" applyNumberFormat="1" applyFont="1" applyFill="1" applyBorder="1" applyAlignment="1">
      <alignment horizontal="center" vertical="center" wrapText="1"/>
    </xf>
    <xf numFmtId="164" fontId="5" fillId="4" borderId="5" xfId="4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top"/>
    </xf>
    <xf numFmtId="164" fontId="3" fillId="4" borderId="0" xfId="0" applyNumberFormat="1" applyFont="1" applyFill="1" applyBorder="1" applyAlignment="1">
      <alignment horizontal="left" vertical="top" wrapText="1"/>
    </xf>
    <xf numFmtId="164" fontId="3" fillId="4" borderId="0" xfId="4" applyNumberFormat="1" applyFont="1" applyFill="1" applyBorder="1" applyAlignment="1">
      <alignment horizontal="right"/>
    </xf>
    <xf numFmtId="164" fontId="3" fillId="4" borderId="5" xfId="4" applyNumberFormat="1" applyFont="1" applyFill="1" applyBorder="1" applyAlignment="1">
      <alignment horizontal="right"/>
    </xf>
    <xf numFmtId="49" fontId="3" fillId="4" borderId="4" xfId="0" applyNumberFormat="1" applyFont="1" applyFill="1" applyBorder="1" applyAlignment="1">
      <alignment horizontal="center" vertical="center"/>
    </xf>
    <xf numFmtId="164" fontId="3" fillId="4" borderId="0" xfId="0" applyNumberFormat="1" applyFont="1" applyFill="1" applyBorder="1" applyAlignment="1">
      <alignment wrapText="1"/>
    </xf>
    <xf numFmtId="164" fontId="3" fillId="4" borderId="0" xfId="0" applyNumberFormat="1" applyFont="1" applyFill="1" applyBorder="1" applyAlignment="1">
      <alignment horizontal="right"/>
    </xf>
    <xf numFmtId="164" fontId="3" fillId="4" borderId="5" xfId="0" applyNumberFormat="1" applyFont="1" applyFill="1" applyBorder="1" applyAlignment="1">
      <alignment horizontal="right"/>
    </xf>
    <xf numFmtId="164" fontId="5" fillId="4" borderId="6" xfId="0" applyNumberFormat="1" applyFont="1" applyFill="1" applyBorder="1" applyAlignment="1">
      <alignment horizontal="center" wrapText="1"/>
    </xf>
    <xf numFmtId="164" fontId="5" fillId="4" borderId="7" xfId="0" applyNumberFormat="1" applyFont="1" applyFill="1" applyBorder="1" applyAlignment="1">
      <alignment horizontal="center" wrapText="1"/>
    </xf>
    <xf numFmtId="164" fontId="5" fillId="4" borderId="7" xfId="0" applyNumberFormat="1" applyFont="1" applyFill="1" applyBorder="1" applyAlignment="1">
      <alignment horizontal="right"/>
    </xf>
    <xf numFmtId="164" fontId="5" fillId="4" borderId="8" xfId="0" applyNumberFormat="1" applyFont="1" applyFill="1" applyBorder="1" applyAlignment="1">
      <alignment horizontal="right"/>
    </xf>
    <xf numFmtId="164" fontId="5" fillId="4" borderId="0" xfId="0" applyNumberFormat="1" applyFont="1" applyFill="1" applyBorder="1" applyAlignment="1">
      <alignment horizontal="center" wrapText="1"/>
    </xf>
    <xf numFmtId="164" fontId="5" fillId="4" borderId="0" xfId="0" applyNumberFormat="1" applyFont="1" applyFill="1" applyBorder="1" applyAlignment="1">
      <alignment horizontal="right"/>
    </xf>
    <xf numFmtId="164" fontId="4" fillId="4" borderId="0" xfId="0" applyNumberFormat="1" applyFont="1" applyFill="1" applyBorder="1" applyAlignment="1">
      <alignment vertical="top" wrapText="1"/>
    </xf>
    <xf numFmtId="164" fontId="4" fillId="4" borderId="0" xfId="0" applyNumberFormat="1" applyFont="1" applyFill="1" applyBorder="1" applyAlignment="1">
      <alignment vertical="top" wrapText="1"/>
    </xf>
    <xf numFmtId="49" fontId="5" fillId="4" borderId="1" xfId="0" applyNumberFormat="1" applyFont="1" applyFill="1" applyBorder="1" applyAlignment="1">
      <alignment horizontal="center" vertical="top"/>
    </xf>
    <xf numFmtId="164" fontId="5" fillId="4" borderId="2" xfId="0" applyNumberFormat="1" applyFont="1" applyFill="1" applyBorder="1" applyAlignment="1">
      <alignment horizontal="center" vertical="top" wrapText="1"/>
    </xf>
    <xf numFmtId="164" fontId="5" fillId="4" borderId="2" xfId="4" applyNumberFormat="1" applyFont="1" applyFill="1" applyBorder="1" applyAlignment="1">
      <alignment horizontal="center"/>
    </xf>
    <xf numFmtId="164" fontId="5" fillId="4" borderId="3" xfId="4" applyNumberFormat="1" applyFont="1" applyFill="1" applyBorder="1" applyAlignment="1">
      <alignment horizontal="center"/>
    </xf>
    <xf numFmtId="164" fontId="8" fillId="4" borderId="0" xfId="0" applyNumberFormat="1" applyFont="1" applyFill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wrapText="1"/>
    </xf>
    <xf numFmtId="164" fontId="5" fillId="4" borderId="0" xfId="4" applyNumberFormat="1" applyFont="1" applyFill="1" applyBorder="1" applyAlignment="1">
      <alignment horizontal="right"/>
    </xf>
    <xf numFmtId="164" fontId="5" fillId="4" borderId="5" xfId="4" applyNumberFormat="1" applyFont="1" applyFill="1" applyBorder="1" applyAlignment="1">
      <alignment horizontal="right"/>
    </xf>
    <xf numFmtId="164" fontId="5" fillId="4" borderId="0" xfId="0" applyNumberFormat="1" applyFont="1" applyFill="1"/>
    <xf numFmtId="49" fontId="9" fillId="4" borderId="4" xfId="0" applyNumberFormat="1" applyFont="1" applyFill="1" applyBorder="1" applyAlignment="1">
      <alignment horizontal="center" vertical="center"/>
    </xf>
    <xf numFmtId="164" fontId="9" fillId="4" borderId="0" xfId="0" applyNumberFormat="1" applyFont="1" applyFill="1" applyBorder="1" applyAlignment="1">
      <alignment wrapText="1"/>
    </xf>
    <xf numFmtId="164" fontId="9" fillId="4" borderId="0" xfId="0" applyNumberFormat="1" applyFont="1" applyFill="1" applyBorder="1" applyAlignment="1">
      <alignment horizontal="right"/>
    </xf>
    <xf numFmtId="164" fontId="9" fillId="4" borderId="5" xfId="0" applyNumberFormat="1" applyFont="1" applyFill="1" applyBorder="1" applyAlignment="1">
      <alignment horizontal="right"/>
    </xf>
    <xf numFmtId="164" fontId="10" fillId="4" borderId="0" xfId="0" applyNumberFormat="1" applyFont="1" applyFill="1"/>
    <xf numFmtId="49" fontId="3" fillId="4" borderId="0" xfId="0" applyNumberFormat="1" applyFont="1" applyFill="1" applyAlignment="1">
      <alignment vertical="center"/>
    </xf>
    <xf numFmtId="164" fontId="3" fillId="4" borderId="0" xfId="0" applyNumberFormat="1" applyFont="1" applyFill="1" applyAlignment="1">
      <alignment wrapText="1"/>
    </xf>
    <xf numFmtId="164" fontId="7" fillId="4" borderId="0" xfId="0" applyNumberFormat="1" applyFont="1" applyFill="1" applyBorder="1" applyAlignment="1">
      <alignment vertical="top" wrapText="1"/>
    </xf>
    <xf numFmtId="164" fontId="9" fillId="4" borderId="0" xfId="0" applyNumberFormat="1" applyFont="1" applyFill="1"/>
    <xf numFmtId="0" fontId="2" fillId="3" borderId="0" xfId="5" applyNumberFormat="1" applyFont="1" applyFill="1"/>
    <xf numFmtId="0" fontId="3" fillId="3" borderId="0" xfId="5" applyNumberFormat="1" applyFont="1" applyFill="1"/>
    <xf numFmtId="0" fontId="11" fillId="3" borderId="0" xfId="5" applyNumberFormat="1" applyFill="1"/>
    <xf numFmtId="0" fontId="4" fillId="3" borderId="0" xfId="5" applyNumberFormat="1" applyFont="1" applyFill="1"/>
    <xf numFmtId="49" fontId="5" fillId="2" borderId="1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left" vertical="top"/>
    </xf>
    <xf numFmtId="164" fontId="5" fillId="4" borderId="5" xfId="0" applyNumberFormat="1" applyFont="1" applyFill="1" applyBorder="1"/>
    <xf numFmtId="49" fontId="12" fillId="2" borderId="4" xfId="0" applyNumberFormat="1" applyFont="1" applyFill="1" applyBorder="1" applyAlignment="1">
      <alignment horizontal="left" vertical="top"/>
    </xf>
    <xf numFmtId="164" fontId="5" fillId="2" borderId="0" xfId="0" applyNumberFormat="1" applyFont="1" applyFill="1" applyBorder="1" applyAlignment="1">
      <alignment wrapText="1"/>
    </xf>
    <xf numFmtId="164" fontId="5" fillId="2" borderId="5" xfId="0" applyNumberFormat="1" applyFont="1" applyFill="1" applyBorder="1"/>
    <xf numFmtId="49" fontId="13" fillId="4" borderId="4" xfId="0" quotePrefix="1" applyNumberFormat="1" applyFont="1" applyFill="1" applyBorder="1" applyAlignment="1">
      <alignment horizontal="left" vertical="top"/>
    </xf>
    <xf numFmtId="164" fontId="9" fillId="4" borderId="5" xfId="0" applyNumberFormat="1" applyFont="1" applyFill="1" applyBorder="1"/>
    <xf numFmtId="49" fontId="12" fillId="4" borderId="4" xfId="0" applyNumberFormat="1" applyFont="1" applyFill="1" applyBorder="1" applyAlignment="1">
      <alignment horizontal="left" vertical="top"/>
    </xf>
    <xf numFmtId="49" fontId="12" fillId="4" borderId="4" xfId="0" quotePrefix="1" applyNumberFormat="1" applyFont="1" applyFill="1" applyBorder="1" applyAlignment="1">
      <alignment horizontal="left" vertical="top"/>
    </xf>
    <xf numFmtId="164" fontId="7" fillId="4" borderId="5" xfId="0" applyNumberFormat="1" applyFont="1" applyFill="1" applyBorder="1"/>
    <xf numFmtId="164" fontId="5" fillId="4" borderId="0" xfId="0" applyNumberFormat="1" applyFont="1" applyFill="1" applyBorder="1" applyAlignment="1">
      <alignment horizontal="left" vertical="center" wrapText="1"/>
    </xf>
    <xf numFmtId="164" fontId="12" fillId="4" borderId="5" xfId="0" applyNumberFormat="1" applyFont="1" applyFill="1" applyBorder="1"/>
    <xf numFmtId="49" fontId="7" fillId="4" borderId="4" xfId="0" quotePrefix="1" applyNumberFormat="1" applyFont="1" applyFill="1" applyBorder="1" applyAlignment="1">
      <alignment horizontal="left" vertical="top"/>
    </xf>
    <xf numFmtId="164" fontId="3" fillId="4" borderId="0" xfId="0" applyNumberFormat="1" applyFont="1" applyFill="1" applyBorder="1" applyAlignment="1">
      <alignment horizontal="left" vertical="center" wrapText="1"/>
    </xf>
    <xf numFmtId="164" fontId="3" fillId="4" borderId="5" xfId="0" applyNumberFormat="1" applyFont="1" applyFill="1" applyBorder="1"/>
    <xf numFmtId="4" fontId="12" fillId="4" borderId="5" xfId="0" applyNumberFormat="1" applyFont="1" applyFill="1" applyBorder="1"/>
    <xf numFmtId="49" fontId="3" fillId="4" borderId="4" xfId="0" applyNumberFormat="1" applyFont="1" applyFill="1" applyBorder="1" applyAlignment="1">
      <alignment horizontal="left" vertical="top"/>
    </xf>
    <xf numFmtId="49" fontId="3" fillId="4" borderId="4" xfId="0" quotePrefix="1" applyNumberFormat="1" applyFont="1" applyFill="1" applyBorder="1" applyAlignment="1">
      <alignment horizontal="left" vertical="top"/>
    </xf>
    <xf numFmtId="49" fontId="5" fillId="2" borderId="4" xfId="0" applyNumberFormat="1" applyFont="1" applyFill="1" applyBorder="1" applyAlignment="1">
      <alignment horizontal="left" vertical="top"/>
    </xf>
    <xf numFmtId="4" fontId="5" fillId="2" borderId="5" xfId="0" applyNumberFormat="1" applyFont="1" applyFill="1" applyBorder="1"/>
    <xf numFmtId="0" fontId="5" fillId="2" borderId="6" xfId="0" applyFont="1" applyFill="1" applyBorder="1" applyAlignment="1">
      <alignment horizontal="left" vertical="top"/>
    </xf>
    <xf numFmtId="0" fontId="5" fillId="2" borderId="7" xfId="0" applyFont="1" applyFill="1" applyBorder="1"/>
    <xf numFmtId="164" fontId="5" fillId="2" borderId="8" xfId="0" applyNumberFormat="1" applyFont="1" applyFill="1" applyBorder="1"/>
    <xf numFmtId="49" fontId="3" fillId="3" borderId="0" xfId="6" applyNumberFormat="1" applyFont="1" applyFill="1" applyAlignment="1">
      <alignment horizontal="center" vertical="center"/>
    </xf>
    <xf numFmtId="164" fontId="3" fillId="3" borderId="0" xfId="6" applyNumberFormat="1" applyFont="1" applyFill="1" applyAlignment="1">
      <alignment wrapText="1"/>
    </xf>
    <xf numFmtId="164" fontId="3" fillId="3" borderId="0" xfId="6" applyNumberFormat="1" applyFont="1" applyFill="1"/>
    <xf numFmtId="4" fontId="11" fillId="3" borderId="0" xfId="5" applyNumberFormat="1" applyFill="1"/>
    <xf numFmtId="0" fontId="11" fillId="3" borderId="0" xfId="5" applyNumberFormat="1" applyFont="1" applyFill="1"/>
    <xf numFmtId="4" fontId="2" fillId="3" borderId="0" xfId="7" applyNumberFormat="1" applyFont="1" applyFill="1" applyAlignment="1">
      <alignment horizontal="left" vertical="center"/>
    </xf>
    <xf numFmtId="4" fontId="15" fillId="3" borderId="0" xfId="7" applyNumberFormat="1" applyFont="1" applyFill="1" applyAlignment="1">
      <alignment horizontal="center" wrapText="1"/>
    </xf>
    <xf numFmtId="4" fontId="5" fillId="3" borderId="0" xfId="7" applyNumberFormat="1" applyFont="1" applyFill="1"/>
    <xf numFmtId="4" fontId="3" fillId="3" borderId="0" xfId="7" applyNumberFormat="1" applyFont="1" applyFill="1"/>
    <xf numFmtId="4" fontId="4" fillId="3" borderId="0" xfId="7" applyNumberFormat="1" applyFont="1" applyFill="1" applyBorder="1" applyAlignment="1">
      <alignment vertical="top" wrapText="1"/>
    </xf>
    <xf numFmtId="4" fontId="8" fillId="2" borderId="1" xfId="5" applyNumberFormat="1" applyFont="1" applyFill="1" applyBorder="1" applyAlignment="1">
      <alignment horizontal="center" vertical="center"/>
    </xf>
    <xf numFmtId="4" fontId="8" fillId="2" borderId="2" xfId="5" applyNumberFormat="1" applyFont="1" applyFill="1" applyBorder="1" applyAlignment="1">
      <alignment horizontal="center" vertical="center" wrapText="1"/>
    </xf>
    <xf numFmtId="4" fontId="8" fillId="2" borderId="2" xfId="5" applyNumberFormat="1" applyFont="1" applyFill="1" applyBorder="1" applyAlignment="1">
      <alignment horizontal="center" vertical="center"/>
    </xf>
    <xf numFmtId="4" fontId="8" fillId="2" borderId="3" xfId="5" applyNumberFormat="1" applyFont="1" applyFill="1" applyBorder="1" applyAlignment="1">
      <alignment horizontal="center" vertical="center" wrapText="1"/>
    </xf>
    <xf numFmtId="4" fontId="8" fillId="2" borderId="4" xfId="5" applyNumberFormat="1" applyFont="1" applyFill="1" applyBorder="1" applyAlignment="1">
      <alignment horizontal="center" vertical="center"/>
    </xf>
    <xf numFmtId="4" fontId="8" fillId="2" borderId="0" xfId="5" applyNumberFormat="1" applyFont="1" applyFill="1" applyBorder="1" applyAlignment="1">
      <alignment horizontal="center" vertical="center" wrapText="1"/>
    </xf>
    <xf numFmtId="4" fontId="8" fillId="2" borderId="0" xfId="5" applyNumberFormat="1" applyFont="1" applyFill="1" applyBorder="1" applyAlignment="1">
      <alignment horizontal="center" vertical="center"/>
    </xf>
    <xf numFmtId="4" fontId="8" fillId="2" borderId="5" xfId="5" applyNumberFormat="1" applyFont="1" applyFill="1" applyBorder="1" applyAlignment="1">
      <alignment horizontal="center" vertical="center" wrapText="1"/>
    </xf>
    <xf numFmtId="1" fontId="10" fillId="4" borderId="4" xfId="5" applyNumberFormat="1" applyFont="1" applyFill="1" applyBorder="1" applyAlignment="1">
      <alignment horizontal="center"/>
    </xf>
    <xf numFmtId="4" fontId="10" fillId="4" borderId="0" xfId="5" applyNumberFormat="1" applyFont="1" applyFill="1" applyBorder="1"/>
    <xf numFmtId="9" fontId="10" fillId="4" borderId="0" xfId="3" applyFont="1" applyFill="1" applyBorder="1"/>
    <xf numFmtId="4" fontId="10" fillId="4" borderId="5" xfId="5" applyNumberFormat="1" applyFont="1" applyFill="1" applyBorder="1"/>
    <xf numFmtId="1" fontId="3" fillId="4" borderId="4" xfId="5" applyNumberFormat="1" applyFont="1" applyFill="1" applyBorder="1" applyAlignment="1">
      <alignment horizontal="center"/>
    </xf>
    <xf numFmtId="4" fontId="3" fillId="4" borderId="0" xfId="5" applyNumberFormat="1" applyFont="1" applyFill="1" applyBorder="1"/>
    <xf numFmtId="4" fontId="3" fillId="4" borderId="0" xfId="1" applyNumberFormat="1" applyFont="1" applyFill="1" applyBorder="1"/>
    <xf numFmtId="9" fontId="3" fillId="4" borderId="0" xfId="3" applyFont="1" applyFill="1" applyBorder="1"/>
    <xf numFmtId="4" fontId="3" fillId="4" borderId="5" xfId="5" applyNumberFormat="1" applyFont="1" applyFill="1" applyBorder="1"/>
    <xf numFmtId="1" fontId="3" fillId="4" borderId="4" xfId="5" quotePrefix="1" applyNumberFormat="1" applyFont="1" applyFill="1" applyBorder="1" applyAlignment="1">
      <alignment horizontal="center"/>
    </xf>
    <xf numFmtId="4" fontId="5" fillId="2" borderId="4" xfId="5" applyNumberFormat="1" applyFont="1" applyFill="1" applyBorder="1" applyAlignment="1">
      <alignment horizontal="center"/>
    </xf>
    <xf numFmtId="4" fontId="5" fillId="2" borderId="0" xfId="5" applyNumberFormat="1" applyFont="1" applyFill="1" applyBorder="1" applyAlignment="1">
      <alignment horizontal="center"/>
    </xf>
    <xf numFmtId="4" fontId="5" fillId="2" borderId="0" xfId="5" applyNumberFormat="1" applyFont="1" applyFill="1" applyBorder="1"/>
    <xf numFmtId="4" fontId="5" fillId="2" borderId="0" xfId="5" applyNumberFormat="1" applyFont="1" applyFill="1" applyBorder="1" applyAlignment="1">
      <alignment horizontal="center"/>
    </xf>
    <xf numFmtId="4" fontId="5" fillId="2" borderId="5" xfId="5" applyNumberFormat="1" applyFont="1" applyFill="1" applyBorder="1"/>
    <xf numFmtId="4" fontId="5" fillId="2" borderId="4" xfId="5" applyNumberFormat="1" applyFont="1" applyFill="1" applyBorder="1" applyAlignment="1">
      <alignment horizontal="left"/>
    </xf>
    <xf numFmtId="4" fontId="5" fillId="2" borderId="0" xfId="5" applyNumberFormat="1" applyFont="1" applyFill="1" applyBorder="1" applyAlignment="1">
      <alignment horizontal="left"/>
    </xf>
    <xf numFmtId="4" fontId="5" fillId="2" borderId="0" xfId="5" applyNumberFormat="1" applyFont="1" applyFill="1" applyBorder="1" applyAlignment="1">
      <alignment horizontal="right"/>
    </xf>
    <xf numFmtId="4" fontId="5" fillId="2" borderId="5" xfId="5" applyNumberFormat="1" applyFont="1" applyFill="1" applyBorder="1" applyAlignment="1">
      <alignment horizontal="right"/>
    </xf>
    <xf numFmtId="4" fontId="5" fillId="2" borderId="6" xfId="5" applyNumberFormat="1" applyFont="1" applyFill="1" applyBorder="1" applyAlignment="1">
      <alignment horizontal="left" wrapText="1"/>
    </xf>
    <xf numFmtId="4" fontId="5" fillId="2" borderId="7" xfId="5" applyNumberFormat="1" applyFont="1" applyFill="1" applyBorder="1" applyAlignment="1">
      <alignment horizontal="left" wrapText="1"/>
    </xf>
    <xf numFmtId="4" fontId="5" fillId="2" borderId="7" xfId="5" applyNumberFormat="1" applyFont="1" applyFill="1" applyBorder="1" applyAlignment="1">
      <alignment horizontal="right"/>
    </xf>
    <xf numFmtId="4" fontId="5" fillId="2" borderId="8" xfId="5" applyNumberFormat="1" applyFont="1" applyFill="1" applyBorder="1" applyAlignment="1">
      <alignment horizontal="right"/>
    </xf>
    <xf numFmtId="49" fontId="3" fillId="3" borderId="0" xfId="8" applyNumberFormat="1" applyFont="1" applyFill="1" applyAlignment="1">
      <alignment horizontal="center" vertical="center"/>
    </xf>
    <xf numFmtId="164" fontId="3" fillId="3" borderId="0" xfId="8" applyNumberFormat="1" applyFont="1" applyFill="1" applyAlignment="1">
      <alignment wrapText="1"/>
    </xf>
    <xf numFmtId="164" fontId="3" fillId="3" borderId="0" xfId="8" applyNumberFormat="1" applyFont="1" applyFill="1"/>
    <xf numFmtId="49" fontId="4" fillId="3" borderId="0" xfId="8" applyNumberFormat="1" applyFont="1" applyFill="1" applyAlignment="1">
      <alignment horizontal="left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164" fontId="3" fillId="3" borderId="0" xfId="8" applyNumberFormat="1" applyFont="1" applyFill="1" applyAlignment="1">
      <alignment vertical="center"/>
    </xf>
    <xf numFmtId="4" fontId="5" fillId="4" borderId="4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wrapText="1"/>
    </xf>
    <xf numFmtId="4" fontId="5" fillId="4" borderId="0" xfId="0" applyNumberFormat="1" applyFont="1" applyFill="1" applyBorder="1"/>
    <xf numFmtId="4" fontId="5" fillId="4" borderId="5" xfId="0" applyNumberFormat="1" applyFont="1" applyFill="1" applyBorder="1"/>
    <xf numFmtId="164" fontId="10" fillId="3" borderId="0" xfId="8" applyNumberFormat="1" applyFont="1" applyFill="1" applyAlignment="1">
      <alignment horizontal="left" wrapText="1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wrapText="1"/>
    </xf>
    <xf numFmtId="4" fontId="3" fillId="4" borderId="0" xfId="0" applyNumberFormat="1" applyFont="1" applyFill="1" applyBorder="1"/>
    <xf numFmtId="4" fontId="3" fillId="4" borderId="5" xfId="0" applyNumberFormat="1" applyFont="1" applyFill="1" applyBorder="1"/>
    <xf numFmtId="164" fontId="3" fillId="4" borderId="0" xfId="8" applyNumberFormat="1" applyFont="1" applyFill="1" applyBorder="1" applyAlignment="1">
      <alignment horizontal="left" wrapText="1"/>
    </xf>
    <xf numFmtId="4" fontId="12" fillId="4" borderId="4" xfId="0" applyNumberFormat="1" applyFont="1" applyFill="1" applyBorder="1" applyAlignment="1">
      <alignment horizontal="center" vertical="center"/>
    </xf>
    <xf numFmtId="4" fontId="12" fillId="4" borderId="0" xfId="0" applyNumberFormat="1" applyFont="1" applyFill="1" applyBorder="1" applyAlignment="1">
      <alignment wrapText="1"/>
    </xf>
    <xf numFmtId="4" fontId="12" fillId="4" borderId="0" xfId="0" applyNumberFormat="1" applyFont="1" applyFill="1" applyBorder="1"/>
    <xf numFmtId="164" fontId="12" fillId="3" borderId="0" xfId="8" applyNumberFormat="1" applyFont="1" applyFill="1"/>
    <xf numFmtId="4" fontId="5" fillId="2" borderId="6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wrapText="1"/>
    </xf>
    <xf numFmtId="4" fontId="5" fillId="2" borderId="7" xfId="0" applyNumberFormat="1" applyFont="1" applyFill="1" applyBorder="1"/>
    <xf numFmtId="4" fontId="5" fillId="2" borderId="8" xfId="0" applyNumberFormat="1" applyFont="1" applyFill="1" applyBorder="1"/>
    <xf numFmtId="4" fontId="5" fillId="4" borderId="0" xfId="0" applyNumberFormat="1" applyFont="1" applyFill="1" applyBorder="1" applyAlignment="1">
      <alignment horizontal="center" vertical="center"/>
    </xf>
    <xf numFmtId="164" fontId="3" fillId="4" borderId="0" xfId="8" applyNumberFormat="1" applyFont="1" applyFill="1"/>
    <xf numFmtId="164" fontId="3" fillId="4" borderId="0" xfId="8" applyNumberFormat="1" applyFont="1" applyFill="1" applyBorder="1" applyAlignment="1">
      <alignment horizontal="left" wrapText="1"/>
    </xf>
    <xf numFmtId="164" fontId="4" fillId="3" borderId="0" xfId="0" applyNumberFormat="1" applyFont="1" applyFill="1" applyBorder="1" applyAlignment="1">
      <alignment vertical="top" wrapText="1"/>
    </xf>
    <xf numFmtId="164" fontId="3" fillId="3" borderId="0" xfId="0" applyNumberFormat="1" applyFont="1" applyFill="1"/>
    <xf numFmtId="164" fontId="4" fillId="3" borderId="0" xfId="0" applyNumberFormat="1" applyFont="1" applyFill="1" applyBorder="1" applyAlignment="1">
      <alignment vertical="top" wrapText="1"/>
    </xf>
    <xf numFmtId="4" fontId="8" fillId="2" borderId="2" xfId="5" applyNumberFormat="1" applyFont="1" applyFill="1" applyBorder="1"/>
    <xf numFmtId="4" fontId="8" fillId="2" borderId="2" xfId="5" applyNumberFormat="1" applyFont="1" applyFill="1" applyBorder="1" applyAlignment="1">
      <alignment horizontal="center"/>
    </xf>
    <xf numFmtId="4" fontId="10" fillId="4" borderId="0" xfId="5" applyNumberFormat="1" applyFont="1" applyFill="1" applyBorder="1" applyAlignment="1">
      <alignment wrapText="1"/>
    </xf>
    <xf numFmtId="4" fontId="10" fillId="4" borderId="0" xfId="5" quotePrefix="1" applyNumberFormat="1" applyFont="1" applyFill="1" applyBorder="1"/>
    <xf numFmtId="4" fontId="10" fillId="4" borderId="5" xfId="5" quotePrefix="1" applyNumberFormat="1" applyFont="1" applyFill="1" applyBorder="1"/>
    <xf numFmtId="2" fontId="16" fillId="4" borderId="0" xfId="5" applyNumberFormat="1" applyFont="1" applyFill="1" applyBorder="1"/>
    <xf numFmtId="4" fontId="5" fillId="2" borderId="6" xfId="5" applyNumberFormat="1" applyFont="1" applyFill="1" applyBorder="1" applyAlignment="1">
      <alignment horizontal="center"/>
    </xf>
    <xf numFmtId="4" fontId="5" fillId="2" borderId="7" xfId="5" applyNumberFormat="1" applyFont="1" applyFill="1" applyBorder="1" applyAlignment="1">
      <alignment horizontal="center"/>
    </xf>
    <xf numFmtId="4" fontId="5" fillId="2" borderId="7" xfId="5" applyNumberFormat="1" applyFont="1" applyFill="1" applyBorder="1" applyAlignment="1">
      <alignment horizontal="center"/>
    </xf>
    <xf numFmtId="4" fontId="5" fillId="2" borderId="7" xfId="5" applyNumberFormat="1" applyFont="1" applyFill="1" applyBorder="1"/>
    <xf numFmtId="4" fontId="5" fillId="2" borderId="8" xfId="5" applyNumberFormat="1" applyFont="1" applyFill="1" applyBorder="1"/>
    <xf numFmtId="164" fontId="4" fillId="3" borderId="0" xfId="0" applyNumberFormat="1" applyFont="1" applyFill="1" applyBorder="1" applyAlignment="1">
      <alignment horizontal="left" wrapText="1"/>
    </xf>
    <xf numFmtId="164" fontId="4" fillId="3" borderId="0" xfId="0" applyNumberFormat="1" applyFont="1" applyFill="1" applyBorder="1" applyAlignment="1">
      <alignment wrapText="1"/>
    </xf>
    <xf numFmtId="4" fontId="5" fillId="2" borderId="2" xfId="0" applyNumberFormat="1" applyFont="1" applyFill="1" applyBorder="1" applyAlignment="1">
      <alignment horizontal="center" wrapText="1"/>
    </xf>
    <xf numFmtId="4" fontId="5" fillId="2" borderId="3" xfId="0" applyNumberFormat="1" applyFont="1" applyFill="1" applyBorder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5" fillId="3" borderId="0" xfId="0" applyNumberFormat="1" applyFont="1" applyFill="1"/>
    <xf numFmtId="0" fontId="4" fillId="3" borderId="0" xfId="5" applyNumberFormat="1" applyFont="1" applyFill="1" applyAlignment="1">
      <alignment horizontal="left" wrapText="1"/>
    </xf>
    <xf numFmtId="0" fontId="3" fillId="4" borderId="0" xfId="5" applyNumberFormat="1" applyFont="1" applyFill="1"/>
    <xf numFmtId="0" fontId="3" fillId="4" borderId="0" xfId="5" applyNumberFormat="1" applyFont="1" applyFill="1" applyAlignment="1">
      <alignment vertical="top" wrapText="1"/>
    </xf>
    <xf numFmtId="0" fontId="7" fillId="4" borderId="0" xfId="5" applyNumberFormat="1" applyFont="1" applyFill="1" applyAlignment="1">
      <alignment horizontal="left" vertical="top" wrapText="1"/>
    </xf>
    <xf numFmtId="0" fontId="3" fillId="3" borderId="0" xfId="5" applyNumberFormat="1" applyFont="1" applyFill="1" applyAlignment="1">
      <alignment vertical="top" wrapText="1"/>
    </xf>
    <xf numFmtId="0" fontId="3" fillId="3" borderId="0" xfId="5" applyNumberFormat="1" applyFont="1" applyFill="1" applyAlignment="1">
      <alignment horizontal="justify" wrapText="1"/>
    </xf>
    <xf numFmtId="164" fontId="10" fillId="3" borderId="0" xfId="9" applyNumberFormat="1" applyFont="1" applyFill="1" applyBorder="1" applyAlignment="1">
      <alignment horizontal="left" wrapText="1"/>
    </xf>
    <xf numFmtId="164" fontId="10" fillId="3" borderId="0" xfId="9" applyNumberFormat="1" applyFont="1" applyFill="1" applyBorder="1" applyAlignment="1">
      <alignment horizontal="left" wrapText="1"/>
    </xf>
    <xf numFmtId="49" fontId="5" fillId="2" borderId="1" xfId="9" applyNumberFormat="1" applyFont="1" applyFill="1" applyBorder="1" applyAlignment="1">
      <alignment horizontal="center" vertical="center"/>
    </xf>
    <xf numFmtId="164" fontId="5" fillId="2" borderId="2" xfId="9" applyNumberFormat="1" applyFont="1" applyFill="1" applyBorder="1" applyAlignment="1">
      <alignment horizontal="center" vertical="center" wrapText="1"/>
    </xf>
    <xf numFmtId="164" fontId="5" fillId="2" borderId="3" xfId="9" applyNumberFormat="1" applyFont="1" applyFill="1" applyBorder="1" applyAlignment="1">
      <alignment horizontal="center" vertical="center" wrapText="1"/>
    </xf>
    <xf numFmtId="49" fontId="3" fillId="4" borderId="4" xfId="9" applyNumberFormat="1" applyFont="1" applyFill="1" applyBorder="1" applyAlignment="1">
      <alignment horizontal="center" vertical="center"/>
    </xf>
    <xf numFmtId="164" fontId="3" fillId="4" borderId="0" xfId="9" applyNumberFormat="1" applyFont="1" applyFill="1" applyBorder="1" applyAlignment="1">
      <alignment horizontal="left" wrapText="1"/>
    </xf>
    <xf numFmtId="4" fontId="3" fillId="0" borderId="0" xfId="9" applyNumberFormat="1" applyFont="1" applyFill="1" applyBorder="1" applyAlignment="1">
      <alignment horizontal="right"/>
    </xf>
    <xf numFmtId="49" fontId="3" fillId="4" borderId="6" xfId="9" applyNumberFormat="1" applyFont="1" applyFill="1" applyBorder="1" applyAlignment="1">
      <alignment horizontal="center" vertical="center"/>
    </xf>
    <xf numFmtId="164" fontId="3" fillId="4" borderId="7" xfId="9" applyNumberFormat="1" applyFont="1" applyFill="1" applyBorder="1" applyAlignment="1">
      <alignment wrapText="1"/>
    </xf>
    <xf numFmtId="4" fontId="3" fillId="4" borderId="7" xfId="9" applyNumberFormat="1" applyFont="1" applyFill="1" applyBorder="1" applyAlignment="1">
      <alignment horizontal="right"/>
    </xf>
    <xf numFmtId="4" fontId="3" fillId="3" borderId="8" xfId="5" applyNumberFormat="1" applyFont="1" applyFill="1" applyBorder="1"/>
    <xf numFmtId="0" fontId="3" fillId="3" borderId="0" xfId="5" applyNumberFormat="1" applyFont="1" applyFill="1" applyBorder="1"/>
    <xf numFmtId="0" fontId="17" fillId="3" borderId="0" xfId="5" applyNumberFormat="1" applyFont="1" applyFill="1"/>
    <xf numFmtId="164" fontId="4" fillId="3" borderId="0" xfId="9" applyNumberFormat="1" applyFont="1" applyFill="1" applyBorder="1" applyAlignment="1">
      <alignment horizontal="left" wrapText="1"/>
    </xf>
    <xf numFmtId="166" fontId="3" fillId="4" borderId="0" xfId="1" applyNumberFormat="1" applyFont="1" applyFill="1" applyBorder="1" applyAlignment="1"/>
    <xf numFmtId="166" fontId="3" fillId="4" borderId="5" xfId="1" applyNumberFormat="1" applyFont="1" applyFill="1" applyBorder="1" applyAlignment="1"/>
    <xf numFmtId="167" fontId="3" fillId="4" borderId="0" xfId="9" applyNumberFormat="1" applyFont="1" applyFill="1" applyBorder="1" applyAlignment="1">
      <alignment horizontal="right"/>
    </xf>
    <xf numFmtId="167" fontId="3" fillId="4" borderId="5" xfId="9" applyNumberFormat="1" applyFont="1" applyFill="1" applyBorder="1" applyAlignment="1">
      <alignment horizontal="right"/>
    </xf>
    <xf numFmtId="164" fontId="3" fillId="4" borderId="7" xfId="9" applyNumberFormat="1" applyFont="1" applyFill="1" applyBorder="1" applyAlignment="1">
      <alignment horizontal="left" wrapText="1"/>
    </xf>
    <xf numFmtId="167" fontId="3" fillId="4" borderId="7" xfId="9" applyNumberFormat="1" applyFont="1" applyFill="1" applyBorder="1" applyAlignment="1">
      <alignment horizontal="right"/>
    </xf>
    <xf numFmtId="167" fontId="3" fillId="4" borderId="8" xfId="9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 vertical="center"/>
    </xf>
    <xf numFmtId="0" fontId="11" fillId="3" borderId="0" xfId="5" applyNumberFormat="1" applyFill="1" applyBorder="1"/>
    <xf numFmtId="0" fontId="3" fillId="3" borderId="0" xfId="0" applyFont="1" applyFill="1" applyAlignment="1">
      <alignment horizontal="justify"/>
    </xf>
    <xf numFmtId="0" fontId="3" fillId="3" borderId="0" xfId="0" applyFont="1" applyFill="1"/>
    <xf numFmtId="0" fontId="5" fillId="2" borderId="1" xfId="5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3" borderId="0" xfId="5" applyNumberFormat="1" applyFill="1" applyAlignment="1">
      <alignment vertical="center"/>
    </xf>
    <xf numFmtId="0" fontId="3" fillId="4" borderId="4" xfId="5" applyNumberFormat="1" applyFont="1" applyFill="1" applyBorder="1"/>
    <xf numFmtId="0" fontId="3" fillId="4" borderId="0" xfId="0" applyFont="1" applyFill="1" applyBorder="1" applyAlignment="1">
      <alignment horizontal="justify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6" xfId="5" applyNumberFormat="1" applyFont="1" applyFill="1" applyBorder="1"/>
    <xf numFmtId="0" fontId="3" fillId="4" borderId="7" xfId="0" applyFont="1" applyFill="1" applyBorder="1" applyAlignment="1">
      <alignment horizontal="justify" vertical="top" wrapText="1"/>
    </xf>
    <xf numFmtId="0" fontId="3" fillId="4" borderId="8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justify"/>
    </xf>
    <xf numFmtId="0" fontId="3" fillId="3" borderId="0" xfId="5" applyNumberFormat="1" applyFont="1" applyFill="1" applyAlignment="1">
      <alignment horizontal="left" vertical="top" wrapText="1"/>
    </xf>
    <xf numFmtId="0" fontId="3" fillId="3" borderId="0" xfId="5" applyNumberFormat="1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4" fontId="7" fillId="4" borderId="3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justify" vertical="top" wrapText="1"/>
    </xf>
    <xf numFmtId="4" fontId="3" fillId="4" borderId="8" xfId="0" applyNumberFormat="1" applyFont="1" applyFill="1" applyBorder="1" applyAlignment="1">
      <alignment horizontal="center" vertical="top" wrapText="1"/>
    </xf>
    <xf numFmtId="0" fontId="4" fillId="3" borderId="0" xfId="5" applyNumberFormat="1" applyFont="1" applyFill="1" applyAlignment="1">
      <alignment horizontal="left" wrapText="1"/>
    </xf>
    <xf numFmtId="0" fontId="18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justify" vertical="top" wrapText="1"/>
    </xf>
    <xf numFmtId="0" fontId="19" fillId="0" borderId="0" xfId="0" applyFont="1" applyFill="1" applyAlignment="1">
      <alignment horizontal="justify" vertical="top" wrapText="1"/>
    </xf>
    <xf numFmtId="0" fontId="19" fillId="0" borderId="0" xfId="0" applyFont="1" applyAlignment="1">
      <alignment horizontal="justify" vertical="top" wrapText="1"/>
    </xf>
    <xf numFmtId="0" fontId="20" fillId="3" borderId="0" xfId="5" applyNumberFormat="1" applyFont="1" applyFill="1"/>
    <xf numFmtId="0" fontId="18" fillId="0" borderId="0" xfId="0" applyFont="1" applyAlignment="1">
      <alignment horizontal="justify" vertical="top" wrapText="1"/>
    </xf>
    <xf numFmtId="44" fontId="19" fillId="3" borderId="0" xfId="2" applyFont="1" applyFill="1" applyAlignment="1">
      <alignment horizontal="left" vertical="top" wrapText="1"/>
    </xf>
    <xf numFmtId="0" fontId="21" fillId="3" borderId="0" xfId="5" applyNumberFormat="1" applyFont="1" applyFill="1"/>
    <xf numFmtId="0" fontId="2" fillId="4" borderId="0" xfId="5" applyNumberFormat="1" applyFont="1" applyFill="1"/>
    <xf numFmtId="0" fontId="11" fillId="4" borderId="0" xfId="5" applyNumberFormat="1" applyFill="1"/>
    <xf numFmtId="0" fontId="0" fillId="4" borderId="0" xfId="0" applyFill="1"/>
    <xf numFmtId="0" fontId="4" fillId="4" borderId="0" xfId="5" applyNumberFormat="1" applyFont="1" applyFill="1"/>
    <xf numFmtId="0" fontId="18" fillId="4" borderId="0" xfId="0" applyFont="1" applyFill="1" applyAlignment="1">
      <alignment horizontal="justify" vertical="top" wrapText="1"/>
    </xf>
    <xf numFmtId="0" fontId="18" fillId="4" borderId="0" xfId="0" applyFont="1" applyFill="1" applyAlignment="1">
      <alignment horizontal="justify" vertical="top" wrapText="1"/>
    </xf>
    <xf numFmtId="0" fontId="22" fillId="4" borderId="0" xfId="0" applyFont="1" applyFill="1" applyAlignment="1">
      <alignment horizontal="justify" vertical="top" wrapText="1"/>
    </xf>
    <xf numFmtId="0" fontId="19" fillId="4" borderId="0" xfId="0" applyFont="1" applyFill="1" applyAlignment="1">
      <alignment horizontal="left" vertical="top"/>
    </xf>
    <xf numFmtId="0" fontId="11" fillId="4" borderId="0" xfId="5" applyNumberFormat="1" applyFill="1" applyAlignment="1">
      <alignment horizontal="justify" vertical="top"/>
    </xf>
    <xf numFmtId="0" fontId="18" fillId="4" borderId="0" xfId="0" applyFont="1" applyFill="1" applyAlignment="1">
      <alignment horizontal="left" vertical="top" wrapText="1"/>
    </xf>
    <xf numFmtId="0" fontId="19" fillId="4" borderId="0" xfId="0" applyFont="1" applyFill="1" applyAlignment="1">
      <alignment horizontal="justify" vertical="top"/>
    </xf>
    <xf numFmtId="0" fontId="18" fillId="4" borderId="0" xfId="0" applyFont="1" applyFill="1" applyAlignment="1">
      <alignment vertical="top" wrapText="1"/>
    </xf>
    <xf numFmtId="0" fontId="22" fillId="3" borderId="0" xfId="5" applyNumberFormat="1" applyFont="1" applyFill="1"/>
    <xf numFmtId="0" fontId="18" fillId="3" borderId="0" xfId="0" applyFont="1" applyFill="1" applyAlignment="1">
      <alignment horizontal="justify" vertical="center" wrapText="1"/>
    </xf>
    <xf numFmtId="0" fontId="0" fillId="0" borderId="0" xfId="0" applyAlignment="1">
      <alignment wrapText="1"/>
    </xf>
    <xf numFmtId="0" fontId="11" fillId="3" borderId="0" xfId="10" applyFill="1"/>
    <xf numFmtId="0" fontId="19" fillId="3" borderId="0" xfId="0" applyFont="1" applyFill="1" applyAlignment="1">
      <alignment horizontal="left" vertical="center" wrapText="1"/>
    </xf>
    <xf numFmtId="0" fontId="5" fillId="2" borderId="1" xfId="5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right" vertical="top" wrapText="1"/>
    </xf>
    <xf numFmtId="4" fontId="3" fillId="4" borderId="5" xfId="0" applyNumberFormat="1" applyFont="1" applyFill="1" applyBorder="1" applyAlignment="1">
      <alignment horizontal="right" vertical="top" wrapText="1"/>
    </xf>
    <xf numFmtId="0" fontId="3" fillId="2" borderId="6" xfId="5" applyNumberFormat="1" applyFont="1" applyFill="1" applyBorder="1"/>
    <xf numFmtId="0" fontId="5" fillId="2" borderId="7" xfId="0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right" vertical="top" wrapText="1"/>
    </xf>
    <xf numFmtId="4" fontId="5" fillId="2" borderId="8" xfId="0" applyNumberFormat="1" applyFont="1" applyFill="1" applyBorder="1" applyAlignment="1">
      <alignment horizontal="right" vertical="top" wrapText="1"/>
    </xf>
    <xf numFmtId="0" fontId="22" fillId="4" borderId="0" xfId="5" applyNumberFormat="1" applyFont="1" applyFill="1"/>
    <xf numFmtId="0" fontId="18" fillId="4" borderId="0" xfId="0" applyFont="1" applyFill="1" applyAlignment="1">
      <alignment horizontal="left" vertical="center" wrapText="1"/>
    </xf>
    <xf numFmtId="0" fontId="0" fillId="4" borderId="0" xfId="0" applyFill="1" applyAlignment="1">
      <alignment wrapText="1"/>
    </xf>
    <xf numFmtId="0" fontId="4" fillId="3" borderId="0" xfId="5" applyNumberFormat="1" applyFont="1" applyFill="1" applyAlignment="1">
      <alignment horizontal="left"/>
    </xf>
    <xf numFmtId="0" fontId="23" fillId="3" borderId="0" xfId="5" applyNumberFormat="1" applyFont="1" applyFill="1" applyAlignment="1">
      <alignment horizontal="left"/>
    </xf>
    <xf numFmtId="0" fontId="21" fillId="4" borderId="0" xfId="0" applyFont="1" applyFill="1"/>
    <xf numFmtId="0" fontId="24" fillId="2" borderId="9" xfId="0" applyFont="1" applyFill="1" applyBorder="1" applyAlignment="1">
      <alignment vertical="center"/>
    </xf>
    <xf numFmtId="4" fontId="24" fillId="2" borderId="10" xfId="0" applyNumberFormat="1" applyFont="1" applyFill="1" applyBorder="1" applyAlignment="1">
      <alignment horizontal="center" vertical="center" wrapText="1"/>
    </xf>
    <xf numFmtId="4" fontId="24" fillId="2" borderId="11" xfId="0" applyNumberFormat="1" applyFont="1" applyFill="1" applyBorder="1" applyAlignment="1">
      <alignment horizontal="center" vertical="center" wrapText="1"/>
    </xf>
    <xf numFmtId="0" fontId="25" fillId="4" borderId="12" xfId="0" applyFont="1" applyFill="1" applyBorder="1" applyAlignment="1">
      <alignment horizontal="left" vertical="center" wrapText="1"/>
    </xf>
    <xf numFmtId="164" fontId="3" fillId="4" borderId="0" xfId="0" applyNumberFormat="1" applyFont="1" applyFill="1" applyBorder="1" applyAlignment="1">
      <alignment horizontal="right" vertical="center" wrapText="1"/>
    </xf>
    <xf numFmtId="4" fontId="25" fillId="4" borderId="13" xfId="0" applyNumberFormat="1" applyFont="1" applyFill="1" applyBorder="1" applyAlignment="1">
      <alignment horizontal="right" vertical="center"/>
    </xf>
    <xf numFmtId="4" fontId="25" fillId="4" borderId="0" xfId="0" applyNumberFormat="1" applyFont="1" applyFill="1" applyBorder="1" applyAlignment="1">
      <alignment horizontal="right" vertical="center"/>
    </xf>
    <xf numFmtId="0" fontId="26" fillId="2" borderId="14" xfId="0" applyFont="1" applyFill="1" applyBorder="1" applyAlignment="1">
      <alignment horizontal="left" vertical="center" wrapText="1"/>
    </xf>
    <xf numFmtId="4" fontId="26" fillId="2" borderId="15" xfId="0" applyNumberFormat="1" applyFont="1" applyFill="1" applyBorder="1" applyAlignment="1">
      <alignment horizontal="right" vertical="center"/>
    </xf>
    <xf numFmtId="4" fontId="26" fillId="2" borderId="16" xfId="0" applyNumberFormat="1" applyFont="1" applyFill="1" applyBorder="1" applyAlignment="1">
      <alignment horizontal="right" vertical="center"/>
    </xf>
    <xf numFmtId="0" fontId="26" fillId="2" borderId="9" xfId="0" applyFont="1" applyFill="1" applyBorder="1" applyAlignment="1">
      <alignment vertical="center"/>
    </xf>
    <xf numFmtId="4" fontId="26" fillId="2" borderId="10" xfId="0" applyNumberFormat="1" applyFont="1" applyFill="1" applyBorder="1" applyAlignment="1">
      <alignment horizontal="center" vertical="center" wrapText="1"/>
    </xf>
    <xf numFmtId="4" fontId="26" fillId="2" borderId="11" xfId="0" applyNumberFormat="1" applyFont="1" applyFill="1" applyBorder="1" applyAlignment="1">
      <alignment horizontal="center" vertical="center" wrapText="1"/>
    </xf>
    <xf numFmtId="0" fontId="21" fillId="4" borderId="12" xfId="0" applyFont="1" applyFill="1" applyBorder="1" applyAlignment="1">
      <alignment horizontal="left" vertical="center" wrapText="1"/>
    </xf>
    <xf numFmtId="4" fontId="21" fillId="4" borderId="0" xfId="0" applyNumberFormat="1" applyFont="1" applyFill="1" applyBorder="1" applyAlignment="1">
      <alignment horizontal="right" vertical="center"/>
    </xf>
    <xf numFmtId="4" fontId="21" fillId="4" borderId="13" xfId="0" applyNumberFormat="1" applyFont="1" applyFill="1" applyBorder="1" applyAlignment="1">
      <alignment horizontal="right" vertical="center"/>
    </xf>
  </cellXfs>
  <cellStyles count="11">
    <cellStyle name="Dziesiętny" xfId="1" builtinId="3"/>
    <cellStyle name="Normal 2" xfId="10"/>
    <cellStyle name="Normal_Nota Nr 1" xfId="8"/>
    <cellStyle name="Normal_Nota Nr 2" xfId="9"/>
    <cellStyle name="Normal_Nota Nr 5" xfId="7"/>
    <cellStyle name="Normal_SHEET" xfId="5"/>
    <cellStyle name="Normalny" xfId="0" builtinId="0"/>
    <cellStyle name="Normalny_Nota Nr 15" xfId="4"/>
    <cellStyle name="Normalny_Nota Nr 28" xfId="6"/>
    <cellStyle name="Procentowy" xfId="3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20\Audyt%20ko&#324;cowy\KONSO\KONSO_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oletta.kielbasa/Desktop/Audyt%202020/ET/n23-5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PDOP\2020\12.2020\13%20okres\TAX_12_2020_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20\Audyt%20ko&#324;cowy\A&#346;KA\dane%20do%20not\Podatek%20odroczony%2031.12.2020%20(5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20\Audyt%20ko&#324;cowy\Sprawozdanie\SF_2020_2803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OiS_2019"/>
      <sheetName val="ZOiS_2020"/>
      <sheetName val="Aktywa"/>
      <sheetName val="Pasywa"/>
      <sheetName val="RZiS-kalkulacyjny"/>
      <sheetName val="Przepływy - metoda pośrednia"/>
      <sheetName val="Zestawienie zmian w kapitale"/>
      <sheetName val="Konso_porównawczy"/>
      <sheetName val="RZiS - porownawczy"/>
      <sheetName val="nota nr 1_BO_01012019"/>
      <sheetName val="Przekształcenie_bilans01"/>
      <sheetName val="nota 2_przekształ.bilans2019"/>
      <sheetName val="Przekształcenie_RZiS_kalkul"/>
      <sheetName val="Arkusz1"/>
      <sheetName val="nota_2"/>
      <sheetName val="nota nr 3 WNiP 20"/>
      <sheetName val="nota nr 4 (p)"/>
      <sheetName val="nota 5"/>
      <sheetName val="nota nr 6(p) "/>
      <sheetName val="nota nr 6 cd. (p)"/>
      <sheetName val="nota 7 IFA (p)"/>
      <sheetName val="nota nr 8 (p)"/>
      <sheetName val="nota nr 9 (p)"/>
      <sheetName val="nota nr 10"/>
      <sheetName val="nota nr 11, 12"/>
      <sheetName val="nota nr 13"/>
      <sheetName val="nota nr 14 (p),15"/>
      <sheetName val="nota nr 16 "/>
      <sheetName val="nota nr 17"/>
      <sheetName val="nota nr 18"/>
      <sheetName val="nota nr 19 i 20"/>
      <sheetName val="nota nr 21 i 22"/>
      <sheetName val="nota nr 23"/>
      <sheetName val="nota 24 (p)"/>
      <sheetName val="nota nr 25- 27"/>
      <sheetName val="CF_Dane_dodatkowe"/>
      <sheetName val="Kontroling"/>
      <sheetName val="Przekształcenie_RZiS_porów"/>
      <sheetName val="nota 6 (p)"/>
      <sheetName val="nota 6 (p) cd"/>
      <sheetName val="nota nr 28 CF"/>
      <sheetName val="nota nr 29-33"/>
      <sheetName val="nota nr 34- 36"/>
      <sheetName val="nota nr 37,38"/>
      <sheetName val="nota nr 39"/>
      <sheetName val="Podpisy "/>
      <sheetName val="arkusz spr"/>
    </sheetNames>
    <sheetDataSet>
      <sheetData sheetId="0">
        <row r="462">
          <cell r="O462">
            <v>9403.2199999999993</v>
          </cell>
        </row>
        <row r="463">
          <cell r="O463">
            <v>-139570.32</v>
          </cell>
        </row>
        <row r="464">
          <cell r="O464">
            <v>-487703.59</v>
          </cell>
        </row>
        <row r="471">
          <cell r="O471">
            <v>74638.31</v>
          </cell>
        </row>
        <row r="472">
          <cell r="O472">
            <v>595155.39</v>
          </cell>
        </row>
      </sheetData>
      <sheetData sheetId="1">
        <row r="441">
          <cell r="O441">
            <v>-492.9</v>
          </cell>
        </row>
        <row r="442">
          <cell r="O442">
            <v>-266.75</v>
          </cell>
        </row>
        <row r="443">
          <cell r="O443">
            <v>-248273.65</v>
          </cell>
        </row>
        <row r="444">
          <cell r="O444">
            <v>16063.01</v>
          </cell>
        </row>
        <row r="445">
          <cell r="O445">
            <v>3600.65</v>
          </cell>
        </row>
        <row r="446">
          <cell r="O446">
            <v>-877.08</v>
          </cell>
        </row>
        <row r="447">
          <cell r="O447">
            <v>-450.94</v>
          </cell>
        </row>
        <row r="448">
          <cell r="O448">
            <v>-1951358</v>
          </cell>
        </row>
        <row r="449">
          <cell r="O449">
            <v>-2822.65</v>
          </cell>
        </row>
        <row r="450">
          <cell r="O450">
            <v>-68903</v>
          </cell>
        </row>
        <row r="451">
          <cell r="O451">
            <v>-21110.33</v>
          </cell>
        </row>
        <row r="452">
          <cell r="O452">
            <v>-575465.43999999994</v>
          </cell>
        </row>
        <row r="453">
          <cell r="O453">
            <v>-140196.14000000001</v>
          </cell>
        </row>
        <row r="454">
          <cell r="O454">
            <v>-602137.66</v>
          </cell>
        </row>
        <row r="455">
          <cell r="O455">
            <v>233.75</v>
          </cell>
        </row>
        <row r="456">
          <cell r="O456">
            <v>55351.82</v>
          </cell>
        </row>
        <row r="457">
          <cell r="O457">
            <v>6610.23</v>
          </cell>
        </row>
        <row r="458">
          <cell r="O458">
            <v>11008.4</v>
          </cell>
        </row>
        <row r="459">
          <cell r="O459">
            <v>16362.93</v>
          </cell>
        </row>
        <row r="460">
          <cell r="O460">
            <v>32369.17</v>
          </cell>
        </row>
        <row r="461">
          <cell r="O461">
            <v>532223.4</v>
          </cell>
        </row>
        <row r="462">
          <cell r="O462">
            <v>-29577.82</v>
          </cell>
        </row>
        <row r="463">
          <cell r="O463">
            <v>-1920</v>
          </cell>
        </row>
        <row r="469">
          <cell r="O469">
            <v>-69177.86</v>
          </cell>
        </row>
        <row r="479">
          <cell r="O479">
            <v>1068364.79</v>
          </cell>
        </row>
        <row r="480">
          <cell r="O480">
            <v>395517.68</v>
          </cell>
        </row>
        <row r="481">
          <cell r="O481">
            <v>6644.48</v>
          </cell>
        </row>
        <row r="482">
          <cell r="O482">
            <v>29285.25</v>
          </cell>
        </row>
      </sheetData>
      <sheetData sheetId="2">
        <row r="38">
          <cell r="D38">
            <v>27087019.62120343</v>
          </cell>
          <cell r="E38">
            <v>27346845.079999998</v>
          </cell>
        </row>
      </sheetData>
      <sheetData sheetId="3">
        <row r="17">
          <cell r="D17">
            <v>336550</v>
          </cell>
          <cell r="E17">
            <v>38853</v>
          </cell>
        </row>
        <row r="36">
          <cell r="K36">
            <v>0</v>
          </cell>
        </row>
        <row r="46">
          <cell r="K46">
            <v>-1169591.4400000051</v>
          </cell>
        </row>
        <row r="50">
          <cell r="K50">
            <v>4359877.0099999988</v>
          </cell>
        </row>
        <row r="51">
          <cell r="K51">
            <v>-178825.03000000003</v>
          </cell>
        </row>
        <row r="52">
          <cell r="K52">
            <v>-88587.219999999972</v>
          </cell>
        </row>
        <row r="53">
          <cell r="K53">
            <v>159878.37999999992</v>
          </cell>
        </row>
      </sheetData>
      <sheetData sheetId="4">
        <row r="41">
          <cell r="D41">
            <v>334963.62998196005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9">
          <cell r="E9">
            <v>1150418.1000000003</v>
          </cell>
          <cell r="F9">
            <v>-5364896.79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 nr 23"/>
      <sheetName val="nota nr 24-25"/>
      <sheetName val="nota nr 26-27"/>
      <sheetName val="nota 28"/>
      <sheetName val="nota nr 29"/>
      <sheetName val="nota nr 30-35"/>
      <sheetName val="nota nr 36"/>
      <sheetName val="nota nr 37-41"/>
      <sheetName val="nota nr 42-44"/>
      <sheetName val="nota nr 45-51 "/>
      <sheetName val="Arkusz3"/>
      <sheetName val="nota nr 52 "/>
    </sheetNames>
    <sheetDataSet>
      <sheetData sheetId="0"/>
      <sheetData sheetId="1"/>
      <sheetData sheetId="2">
        <row r="13">
          <cell r="C13">
            <v>614.89</v>
          </cell>
        </row>
        <row r="15">
          <cell r="C15">
            <v>9842.84</v>
          </cell>
        </row>
        <row r="66">
          <cell r="C66">
            <v>34573.79</v>
          </cell>
        </row>
        <row r="68">
          <cell r="C68">
            <v>161</v>
          </cell>
        </row>
        <row r="104">
          <cell r="C104">
            <v>51.62</v>
          </cell>
        </row>
        <row r="115">
          <cell r="D115">
            <v>287.56</v>
          </cell>
        </row>
      </sheetData>
      <sheetData sheetId="3">
        <row r="12">
          <cell r="C12">
            <v>1329143.1499999999</v>
          </cell>
          <cell r="F12">
            <v>1535199.25</v>
          </cell>
        </row>
        <row r="13">
          <cell r="C13">
            <v>205026</v>
          </cell>
          <cell r="F13">
            <v>186034.49</v>
          </cell>
        </row>
        <row r="14">
          <cell r="C14">
            <v>527172.12</v>
          </cell>
          <cell r="F14">
            <v>621199.62</v>
          </cell>
        </row>
        <row r="15">
          <cell r="C15">
            <v>12500</v>
          </cell>
          <cell r="F15">
            <v>25000</v>
          </cell>
        </row>
        <row r="16">
          <cell r="C16">
            <v>19892.02</v>
          </cell>
          <cell r="F16">
            <v>26024.11</v>
          </cell>
        </row>
        <row r="17">
          <cell r="C17">
            <v>152877.5</v>
          </cell>
          <cell r="F17">
            <v>135243.65</v>
          </cell>
        </row>
        <row r="18">
          <cell r="C18">
            <v>40407.31</v>
          </cell>
          <cell r="F18">
            <v>40407.31</v>
          </cell>
        </row>
        <row r="19">
          <cell r="C19">
            <v>993439.57</v>
          </cell>
          <cell r="F19">
            <v>944655.46</v>
          </cell>
        </row>
        <row r="20">
          <cell r="C20">
            <v>33524</v>
          </cell>
          <cell r="F20">
            <v>33524</v>
          </cell>
        </row>
        <row r="53">
          <cell r="C53">
            <v>33524</v>
          </cell>
        </row>
      </sheetData>
      <sheetData sheetId="4"/>
      <sheetData sheetId="5">
        <row r="20">
          <cell r="C20">
            <v>229272.21</v>
          </cell>
          <cell r="D20">
            <v>1065000</v>
          </cell>
        </row>
      </sheetData>
      <sheetData sheetId="6"/>
      <sheetData sheetId="7"/>
      <sheetData sheetId="8">
        <row r="21">
          <cell r="D21">
            <v>1007223.25</v>
          </cell>
        </row>
        <row r="22">
          <cell r="C22">
            <v>112384.58</v>
          </cell>
        </row>
      </sheetData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OP_122019"/>
      <sheetName val="PDOP_122020_księgi"/>
      <sheetName val="ZOiS_122020"/>
      <sheetName val="Arkusz4"/>
      <sheetName val="ZOiS_0"/>
      <sheetName val="Zois"/>
      <sheetName val="ZOiS_122019"/>
      <sheetName val="Arkusz3"/>
      <sheetName val="Arkusz2"/>
      <sheetName val="Arkusz1"/>
      <sheetName val="ZOiS_122019_"/>
      <sheetName val="Strata"/>
      <sheetName val="B+R"/>
      <sheetName val="09"/>
      <sheetName val="10"/>
    </sheetNames>
    <sheetDataSet>
      <sheetData sheetId="0"/>
      <sheetData sheetId="1">
        <row r="72">
          <cell r="B72">
            <v>-442417.83</v>
          </cell>
        </row>
        <row r="78">
          <cell r="B78">
            <v>-266.75</v>
          </cell>
        </row>
        <row r="79">
          <cell r="B79">
            <v>16063.01</v>
          </cell>
        </row>
        <row r="80">
          <cell r="B80">
            <v>3600.65</v>
          </cell>
        </row>
        <row r="81">
          <cell r="B81">
            <v>-877.08</v>
          </cell>
        </row>
        <row r="82">
          <cell r="B82">
            <v>-450.94</v>
          </cell>
        </row>
        <row r="83">
          <cell r="B83">
            <v>-1951358</v>
          </cell>
        </row>
        <row r="84">
          <cell r="B84">
            <v>-21110.33</v>
          </cell>
        </row>
        <row r="85">
          <cell r="B85">
            <v>-140196.14000000001</v>
          </cell>
        </row>
        <row r="86">
          <cell r="B86">
            <v>-575465.43999999994</v>
          </cell>
        </row>
        <row r="87">
          <cell r="B87">
            <v>16362.93</v>
          </cell>
        </row>
        <row r="88">
          <cell r="B88">
            <v>32369.17</v>
          </cell>
        </row>
        <row r="94">
          <cell r="B94">
            <v>-4499.51</v>
          </cell>
        </row>
        <row r="96">
          <cell r="B96">
            <v>-248231.85</v>
          </cell>
        </row>
        <row r="101">
          <cell r="B101">
            <v>-149020.64000000001</v>
          </cell>
        </row>
        <row r="102">
          <cell r="B102">
            <v>-69177.86</v>
          </cell>
        </row>
        <row r="105">
          <cell r="B105">
            <v>-832315.39</v>
          </cell>
        </row>
        <row r="107">
          <cell r="B107">
            <v>89795.29</v>
          </cell>
        </row>
        <row r="108">
          <cell r="B108">
            <v>-2856032.83</v>
          </cell>
        </row>
        <row r="109">
          <cell r="B109">
            <v>-5913.09</v>
          </cell>
        </row>
        <row r="110">
          <cell r="B110">
            <v>-60.37</v>
          </cell>
        </row>
        <row r="112">
          <cell r="B112">
            <v>27119.08</v>
          </cell>
        </row>
        <row r="113">
          <cell r="B113">
            <v>21339.75</v>
          </cell>
        </row>
        <row r="114">
          <cell r="B114">
            <v>-211385.06</v>
          </cell>
        </row>
        <row r="117">
          <cell r="B117">
            <v>13827175.98</v>
          </cell>
        </row>
        <row r="119">
          <cell r="B119">
            <v>11650</v>
          </cell>
        </row>
        <row r="120">
          <cell r="B120">
            <v>28290</v>
          </cell>
        </row>
        <row r="121">
          <cell r="B121">
            <v>-2822.65</v>
          </cell>
        </row>
        <row r="124">
          <cell r="B124">
            <v>-158726.43</v>
          </cell>
        </row>
        <row r="125">
          <cell r="B125">
            <v>-2377520.63</v>
          </cell>
        </row>
        <row r="126">
          <cell r="B126">
            <v>-7456.27</v>
          </cell>
        </row>
        <row r="144">
          <cell r="B144">
            <v>-46806.7</v>
          </cell>
        </row>
        <row r="145">
          <cell r="B145">
            <v>-131457.60000000001</v>
          </cell>
        </row>
        <row r="146">
          <cell r="B146">
            <v>-709172.58</v>
          </cell>
        </row>
        <row r="147">
          <cell r="B147">
            <v>-848286.46</v>
          </cell>
        </row>
        <row r="149">
          <cell r="B149">
            <v>-400146.57</v>
          </cell>
        </row>
        <row r="150">
          <cell r="B150">
            <v>-13031063.710000001</v>
          </cell>
        </row>
        <row r="151">
          <cell r="B151">
            <v>29970.77</v>
          </cell>
        </row>
        <row r="154">
          <cell r="B154">
            <v>-2763513.97</v>
          </cell>
        </row>
        <row r="155">
          <cell r="B155">
            <v>-66796159.109999999</v>
          </cell>
        </row>
        <row r="156">
          <cell r="B156">
            <v>89279341.090000004</v>
          </cell>
        </row>
        <row r="159">
          <cell r="B159">
            <v>-1075009.27</v>
          </cell>
        </row>
        <row r="160">
          <cell r="B160">
            <v>14819815.300000001</v>
          </cell>
        </row>
        <row r="168">
          <cell r="B168">
            <v>-57702.28</v>
          </cell>
        </row>
        <row r="171">
          <cell r="B171">
            <v>-972940.67</v>
          </cell>
        </row>
        <row r="175">
          <cell r="B175">
            <v>-55351.82</v>
          </cell>
        </row>
        <row r="192">
          <cell r="B192">
            <v>-75600</v>
          </cell>
        </row>
        <row r="193">
          <cell r="B193">
            <v>-138546.75</v>
          </cell>
        </row>
        <row r="194">
          <cell r="B194">
            <v>-881127.59</v>
          </cell>
        </row>
        <row r="197">
          <cell r="B197">
            <v>-2664296.9699999997</v>
          </cell>
        </row>
        <row r="201">
          <cell r="B201">
            <v>-458904.08</v>
          </cell>
        </row>
        <row r="207">
          <cell r="B207">
            <v>-739.69</v>
          </cell>
        </row>
        <row r="208">
          <cell r="B208">
            <v>-283638.94</v>
          </cell>
        </row>
        <row r="209">
          <cell r="B209">
            <v>-163181.17000000001</v>
          </cell>
        </row>
        <row r="210">
          <cell r="B210">
            <v>0</v>
          </cell>
        </row>
        <row r="211">
          <cell r="B211">
            <v>-24602.32</v>
          </cell>
        </row>
        <row r="212">
          <cell r="B212">
            <v>0</v>
          </cell>
        </row>
        <row r="213">
          <cell r="B213">
            <v>-242395.61</v>
          </cell>
        </row>
        <row r="214">
          <cell r="B214">
            <v>0</v>
          </cell>
        </row>
        <row r="215">
          <cell r="B215">
            <v>-216.4</v>
          </cell>
        </row>
        <row r="216">
          <cell r="B216">
            <v>-8310.9</v>
          </cell>
        </row>
        <row r="217">
          <cell r="B217">
            <v>131633.87</v>
          </cell>
        </row>
        <row r="218">
          <cell r="B218">
            <v>90414.099999999991</v>
          </cell>
        </row>
        <row r="223">
          <cell r="B223">
            <v>-964291.65</v>
          </cell>
        </row>
        <row r="224">
          <cell r="B224">
            <v>164600</v>
          </cell>
        </row>
        <row r="225">
          <cell r="B225">
            <v>-129600</v>
          </cell>
        </row>
        <row r="230">
          <cell r="B230">
            <v>111125.81</v>
          </cell>
        </row>
        <row r="234">
          <cell r="B234">
            <v>77650.19</v>
          </cell>
        </row>
        <row r="238">
          <cell r="B238">
            <v>-2014556.67</v>
          </cell>
        </row>
        <row r="240">
          <cell r="B240">
            <v>-393925.56</v>
          </cell>
        </row>
        <row r="256">
          <cell r="B256">
            <v>1030897.39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 24 (p)"/>
    </sheetNames>
    <sheetDataSet>
      <sheetData sheetId="0" refreshError="1">
        <row r="7">
          <cell r="C7">
            <v>2840406</v>
          </cell>
          <cell r="F7">
            <v>1992119.54</v>
          </cell>
        </row>
        <row r="8">
          <cell r="C8">
            <v>67200</v>
          </cell>
          <cell r="F8">
            <v>102200</v>
          </cell>
        </row>
        <row r="9">
          <cell r="C9">
            <v>0</v>
          </cell>
          <cell r="F9">
            <v>0</v>
          </cell>
        </row>
        <row r="10">
          <cell r="C10">
            <v>2400000</v>
          </cell>
          <cell r="F10">
            <v>2400000</v>
          </cell>
        </row>
        <row r="11">
          <cell r="C11">
            <v>7137322.1600000001</v>
          </cell>
          <cell r="F11">
            <v>10757109.529999999</v>
          </cell>
        </row>
        <row r="12">
          <cell r="C12">
            <v>693286.39</v>
          </cell>
          <cell r="F12">
            <v>564436.41</v>
          </cell>
        </row>
        <row r="14">
          <cell r="C14">
            <v>6638388.7300000004</v>
          </cell>
          <cell r="F14">
            <v>4225736.42</v>
          </cell>
        </row>
        <row r="16">
          <cell r="C16">
            <v>5181144.25</v>
          </cell>
          <cell r="F16">
            <v>4327978.41</v>
          </cell>
        </row>
        <row r="17">
          <cell r="C17">
            <v>662268.98</v>
          </cell>
          <cell r="F17">
            <v>268343.42</v>
          </cell>
        </row>
        <row r="25">
          <cell r="C25">
            <v>41954.02</v>
          </cell>
          <cell r="F25">
            <v>42725.02</v>
          </cell>
        </row>
        <row r="26">
          <cell r="C26">
            <v>2759477.9</v>
          </cell>
          <cell r="F26">
            <v>95180.93</v>
          </cell>
        </row>
        <row r="29">
          <cell r="C29">
            <v>35010583.75</v>
          </cell>
          <cell r="F29">
            <v>24487304.239999998</v>
          </cell>
        </row>
        <row r="30">
          <cell r="C30">
            <v>63844741.479999997</v>
          </cell>
          <cell r="F30">
            <v>84998088.590000004</v>
          </cell>
        </row>
        <row r="31">
          <cell r="C31">
            <v>3980408.59</v>
          </cell>
        </row>
        <row r="72">
          <cell r="C72">
            <v>6238.35</v>
          </cell>
          <cell r="E72">
            <v>1185</v>
          </cell>
          <cell r="F72">
            <v>22301.360000000001</v>
          </cell>
        </row>
        <row r="76">
          <cell r="C76">
            <v>666929.48</v>
          </cell>
          <cell r="E76">
            <v>126717</v>
          </cell>
          <cell r="F76">
            <v>55528.79</v>
          </cell>
        </row>
        <row r="77">
          <cell r="C77">
            <v>33718.980000000003</v>
          </cell>
          <cell r="E77">
            <v>6407</v>
          </cell>
          <cell r="F77">
            <v>88362.63</v>
          </cell>
        </row>
        <row r="78">
          <cell r="F78">
            <v>4773</v>
          </cell>
        </row>
        <row r="79">
          <cell r="C79">
            <v>1030897</v>
          </cell>
          <cell r="E79">
            <v>195871</v>
          </cell>
        </row>
        <row r="90">
          <cell r="C90">
            <v>32483</v>
          </cell>
        </row>
        <row r="100">
          <cell r="C100">
            <v>14341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OiS_2019"/>
      <sheetName val="ZOiS_2020"/>
      <sheetName val="ST"/>
      <sheetName val="Aktywa"/>
      <sheetName val="Pasywa"/>
      <sheetName val="RZiS-kalkulacyjny"/>
      <sheetName val="Zestawienie zmian w kapitale"/>
      <sheetName val="RZiS - porownawczy"/>
      <sheetName val="Przepływy - metoda pośrednia"/>
      <sheetName val="CF_Dane_dodatkowe"/>
      <sheetName val="nota_1_BO_012019"/>
      <sheetName val="Przekształcenie_bilans01"/>
      <sheetName val="nota_1_RZiS_012019"/>
      <sheetName val="nota_2_przekszt_bilans2019"/>
      <sheetName val="nota_2_przekszt_RZiS_kalkul"/>
      <sheetName val="nota nr 3 WNiP 20"/>
      <sheetName val="nota nr 4 (p)"/>
      <sheetName val="nota 5"/>
      <sheetName val="nota nr 6(p) "/>
      <sheetName val="nota nr 6 cd. (p)"/>
      <sheetName val="nota 7 IFA (p)"/>
      <sheetName val="nota nr 8 (p)"/>
      <sheetName val="nota nr 9 (p)"/>
      <sheetName val="nota nr 10"/>
      <sheetName val="nota nr 11, 12"/>
      <sheetName val="nota nr 13"/>
      <sheetName val="nota nr 14 (p),15"/>
      <sheetName val="nota nr 16 "/>
      <sheetName val="nota nr 17"/>
      <sheetName val="nota nr 18"/>
      <sheetName val="nota nr 19 i 20"/>
      <sheetName val="nota nr 21 i 22 "/>
      <sheetName val="nota nr 23"/>
      <sheetName val="nota 24 (p)"/>
      <sheetName val="nota nr 25- 27"/>
      <sheetName val="nota nr 28 CF"/>
      <sheetName val="Kontroling"/>
      <sheetName val="Przekształcenie_RZiS_porów"/>
      <sheetName val="nota 6 (p)"/>
      <sheetName val="nota 6 (p) cd"/>
      <sheetName val="nota nr 29-33"/>
      <sheetName val="nota nr 34- 36"/>
      <sheetName val="nota nr 37"/>
      <sheetName val="nota nr 38,39"/>
      <sheetName val="nota nr 40"/>
      <sheetName val="Podpisy "/>
      <sheetName val="arkusz sp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0">
          <cell r="D10">
            <v>65300000</v>
          </cell>
        </row>
      </sheetData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view="pageBreakPreview" topLeftCell="A13" zoomScale="85" zoomScaleNormal="100" zoomScaleSheetLayoutView="85" workbookViewId="0">
      <selection activeCell="B45" sqref="B45"/>
    </sheetView>
  </sheetViews>
  <sheetFormatPr defaultRowHeight="15" x14ac:dyDescent="0.25"/>
  <cols>
    <col min="1" max="1" width="4.140625" style="2" customWidth="1"/>
    <col min="2" max="2" width="51.85546875" style="3" customWidth="1"/>
    <col min="3" max="3" width="15" style="1" customWidth="1"/>
    <col min="4" max="4" width="16.42578125" style="1" customWidth="1"/>
    <col min="5" max="5" width="13.42578125" style="1" customWidth="1"/>
    <col min="6" max="6" width="14" style="1" customWidth="1"/>
  </cols>
  <sheetData>
    <row r="1" spans="1:6" ht="15.75" x14ac:dyDescent="0.25">
      <c r="A1" s="4" t="s">
        <v>0</v>
      </c>
      <c r="B1" s="4"/>
      <c r="C1" s="5"/>
      <c r="D1" s="5"/>
      <c r="E1" s="6"/>
      <c r="F1" s="6"/>
    </row>
    <row r="2" spans="1:6" ht="15.75" x14ac:dyDescent="0.25">
      <c r="A2" s="7" t="s">
        <v>1</v>
      </c>
      <c r="B2" s="7"/>
      <c r="C2" s="7"/>
      <c r="D2" s="7"/>
      <c r="E2" s="6"/>
      <c r="F2" s="6"/>
    </row>
    <row r="3" spans="1:6" ht="16.5" thickBot="1" x14ac:dyDescent="0.3">
      <c r="A3" s="8"/>
      <c r="B3" s="8"/>
      <c r="C3" s="8"/>
      <c r="D3" s="8"/>
      <c r="E3" s="6"/>
      <c r="F3" s="6"/>
    </row>
    <row r="4" spans="1:6" ht="15.75" thickTop="1" x14ac:dyDescent="0.25">
      <c r="A4" s="9" t="s">
        <v>2</v>
      </c>
      <c r="B4" s="10" t="s">
        <v>3</v>
      </c>
      <c r="C4" s="11" t="s">
        <v>4</v>
      </c>
      <c r="D4" s="11"/>
      <c r="E4" s="11"/>
      <c r="F4" s="12"/>
    </row>
    <row r="5" spans="1:6" x14ac:dyDescent="0.25">
      <c r="A5" s="13"/>
      <c r="B5" s="14"/>
      <c r="C5" s="15" t="s">
        <v>5</v>
      </c>
      <c r="D5" s="15" t="s">
        <v>6</v>
      </c>
      <c r="E5" s="15"/>
      <c r="F5" s="16"/>
    </row>
    <row r="6" spans="1:6" ht="25.5" x14ac:dyDescent="0.25">
      <c r="A6" s="13"/>
      <c r="B6" s="14"/>
      <c r="C6" s="15"/>
      <c r="D6" s="17" t="s">
        <v>7</v>
      </c>
      <c r="E6" s="17" t="s">
        <v>8</v>
      </c>
      <c r="F6" s="18" t="s">
        <v>9</v>
      </c>
    </row>
    <row r="7" spans="1:6" x14ac:dyDescent="0.25">
      <c r="A7" s="19" t="s">
        <v>10</v>
      </c>
      <c r="B7" s="20" t="s">
        <v>11</v>
      </c>
      <c r="C7" s="21">
        <v>0</v>
      </c>
      <c r="D7" s="21">
        <v>0</v>
      </c>
      <c r="E7" s="21">
        <v>0</v>
      </c>
      <c r="F7" s="22">
        <v>0</v>
      </c>
    </row>
    <row r="8" spans="1:6" x14ac:dyDescent="0.25">
      <c r="A8" s="23" t="s">
        <v>12</v>
      </c>
      <c r="B8" s="24" t="s">
        <v>13</v>
      </c>
      <c r="C8" s="25">
        <v>0</v>
      </c>
      <c r="D8" s="25">
        <v>0</v>
      </c>
      <c r="E8" s="25">
        <v>0</v>
      </c>
      <c r="F8" s="26">
        <v>0</v>
      </c>
    </row>
    <row r="9" spans="1:6" x14ac:dyDescent="0.25">
      <c r="A9" s="23" t="s">
        <v>14</v>
      </c>
      <c r="B9" s="24" t="s">
        <v>15</v>
      </c>
      <c r="C9" s="25">
        <f>-([1]ZOiS_2020!O441+[1]ZOiS_2020!O442+[1]ZOiS_2020!O443+[1]ZOiS_2020!O444+[1]ZOiS_2020!O450+[1]ZOiS_2020!O451+[1]ZOiS_2020!O469)-[1]ZOiS_2020!O445+'[2]nota nr 26-27'!$C$13</f>
        <v>389175.72</v>
      </c>
      <c r="D9" s="25">
        <v>0</v>
      </c>
      <c r="E9" s="25">
        <v>0</v>
      </c>
      <c r="F9" s="26">
        <v>0</v>
      </c>
    </row>
    <row r="10" spans="1:6" x14ac:dyDescent="0.25">
      <c r="A10" s="23" t="s">
        <v>16</v>
      </c>
      <c r="B10" s="24" t="s">
        <v>17</v>
      </c>
      <c r="C10" s="25">
        <f>+-([1]ZOiS_2020!O446+[1]ZOiS_2020!O447)+'[2]nota nr 26-27'!$C$15</f>
        <v>11170.86</v>
      </c>
      <c r="D10" s="25">
        <v>0</v>
      </c>
      <c r="E10" s="25">
        <v>0</v>
      </c>
      <c r="F10" s="26">
        <v>0</v>
      </c>
    </row>
    <row r="11" spans="1:6" x14ac:dyDescent="0.25">
      <c r="A11" s="23" t="s">
        <v>18</v>
      </c>
      <c r="B11" s="24" t="s">
        <v>19</v>
      </c>
      <c r="C11" s="25">
        <f>-[1]ZOiS_2020!O448</f>
        <v>1951358</v>
      </c>
      <c r="D11" s="25"/>
      <c r="E11" s="25"/>
      <c r="F11" s="26"/>
    </row>
    <row r="12" spans="1:6" x14ac:dyDescent="0.25">
      <c r="A12" s="23" t="s">
        <v>20</v>
      </c>
      <c r="B12" s="24" t="s">
        <v>21</v>
      </c>
      <c r="C12" s="21">
        <f>-[1]ZOiS_2020!O449</f>
        <v>2822.65</v>
      </c>
      <c r="D12" s="21">
        <v>0</v>
      </c>
      <c r="E12" s="21">
        <v>0</v>
      </c>
      <c r="F12" s="22">
        <v>0</v>
      </c>
    </row>
    <row r="13" spans="1:6" ht="15.75" thickBot="1" x14ac:dyDescent="0.3">
      <c r="A13" s="27" t="s">
        <v>22</v>
      </c>
      <c r="B13" s="28"/>
      <c r="C13" s="29">
        <f>C7+C8+C9+C10+C12+C11</f>
        <v>2354527.23</v>
      </c>
      <c r="D13" s="29">
        <f>D7+D8+D9+D10+D12</f>
        <v>0</v>
      </c>
      <c r="E13" s="29">
        <f>E7+E8+E9+E10+E12</f>
        <v>0</v>
      </c>
      <c r="F13" s="30">
        <f>F7+F8+F9+F10+F12</f>
        <v>0</v>
      </c>
    </row>
    <row r="14" spans="1:6" ht="15.75" thickTop="1" x14ac:dyDescent="0.25">
      <c r="A14" s="31"/>
      <c r="B14" s="31"/>
      <c r="C14" s="32"/>
      <c r="D14" s="32"/>
      <c r="E14" s="6"/>
      <c r="F14" s="6"/>
    </row>
    <row r="15" spans="1:6" ht="15.75" x14ac:dyDescent="0.25">
      <c r="A15" s="33" t="s">
        <v>30</v>
      </c>
      <c r="B15" s="33"/>
      <c r="C15" s="6"/>
      <c r="D15" s="6"/>
      <c r="E15" s="6"/>
      <c r="F15" s="6"/>
    </row>
    <row r="16" spans="1:6" ht="16.5" thickBot="1" x14ac:dyDescent="0.3">
      <c r="A16" s="34"/>
      <c r="B16" s="34"/>
      <c r="C16" s="6"/>
      <c r="D16" s="6"/>
      <c r="E16" s="6"/>
      <c r="F16" s="6"/>
    </row>
    <row r="17" spans="1:6" ht="15.75" thickTop="1" x14ac:dyDescent="0.25">
      <c r="A17" s="35" t="s">
        <v>2</v>
      </c>
      <c r="B17" s="36" t="s">
        <v>25</v>
      </c>
      <c r="C17" s="37" t="s">
        <v>31</v>
      </c>
      <c r="D17" s="38" t="s">
        <v>32</v>
      </c>
      <c r="E17" s="39"/>
      <c r="F17" s="6"/>
    </row>
    <row r="18" spans="1:6" x14ac:dyDescent="0.25">
      <c r="A18" s="40" t="s">
        <v>12</v>
      </c>
      <c r="B18" s="41" t="s">
        <v>33</v>
      </c>
      <c r="C18" s="42">
        <f>SUM(C19:C27)-C20</f>
        <v>736843.73999999976</v>
      </c>
      <c r="D18" s="43">
        <f>SUM(D19:D27)-D20</f>
        <v>1</v>
      </c>
      <c r="E18" s="44"/>
      <c r="F18" s="44"/>
    </row>
    <row r="19" spans="1:6" x14ac:dyDescent="0.25">
      <c r="A19" s="23" t="s">
        <v>26</v>
      </c>
      <c r="B19" s="24" t="s">
        <v>34</v>
      </c>
      <c r="C19" s="25">
        <v>0</v>
      </c>
      <c r="D19" s="26">
        <v>0</v>
      </c>
      <c r="E19" s="44"/>
      <c r="F19" s="44"/>
    </row>
    <row r="20" spans="1:6" x14ac:dyDescent="0.25">
      <c r="A20" s="23" t="s">
        <v>27</v>
      </c>
      <c r="B20" s="24" t="s">
        <v>35</v>
      </c>
      <c r="C20" s="25">
        <f>SUM(C21:C26)</f>
        <v>736843.74</v>
      </c>
      <c r="D20" s="26">
        <f>SUM(D21:D26)</f>
        <v>0</v>
      </c>
      <c r="E20" s="44"/>
      <c r="F20" s="44"/>
    </row>
    <row r="21" spans="1:6" x14ac:dyDescent="0.25">
      <c r="A21" s="45"/>
      <c r="B21" s="46" t="s">
        <v>36</v>
      </c>
      <c r="C21" s="47">
        <f>-[1]ZOiS_2020!O454</f>
        <v>602137.66</v>
      </c>
      <c r="D21" s="48">
        <v>0</v>
      </c>
      <c r="E21" s="49"/>
      <c r="F21" s="49"/>
    </row>
    <row r="22" spans="1:6" x14ac:dyDescent="0.25">
      <c r="A22" s="45"/>
      <c r="B22" s="46" t="s">
        <v>37</v>
      </c>
      <c r="C22" s="47">
        <f>-[1]ZOiS_2020!O461</f>
        <v>-532223.4</v>
      </c>
      <c r="D22" s="48">
        <v>0</v>
      </c>
      <c r="E22" s="49"/>
      <c r="F22" s="49"/>
    </row>
    <row r="23" spans="1:6" x14ac:dyDescent="0.25">
      <c r="A23" s="45"/>
      <c r="B23" s="46" t="s">
        <v>38</v>
      </c>
      <c r="C23" s="47">
        <v>0</v>
      </c>
      <c r="D23" s="48">
        <v>0</v>
      </c>
      <c r="E23" s="49"/>
      <c r="F23" s="49"/>
    </row>
    <row r="24" spans="1:6" x14ac:dyDescent="0.25">
      <c r="A24" s="45"/>
      <c r="B24" s="46" t="s">
        <v>39</v>
      </c>
      <c r="C24" s="47">
        <v>0</v>
      </c>
      <c r="D24" s="48">
        <v>0</v>
      </c>
      <c r="E24" s="49"/>
      <c r="F24" s="49"/>
    </row>
    <row r="25" spans="1:6" x14ac:dyDescent="0.25">
      <c r="A25" s="45"/>
      <c r="B25" s="46" t="s">
        <v>40</v>
      </c>
      <c r="C25" s="47">
        <f>-([1]ZOiS_2020!O452+[1]ZOiS_2020!O453)</f>
        <v>715661.58</v>
      </c>
      <c r="D25" s="48">
        <v>0</v>
      </c>
      <c r="E25" s="49"/>
      <c r="F25" s="49"/>
    </row>
    <row r="26" spans="1:6" x14ac:dyDescent="0.25">
      <c r="A26" s="45"/>
      <c r="B26" s="46" t="s">
        <v>41</v>
      </c>
      <c r="C26" s="47">
        <f>-([1]ZOiS_2020!O459+[1]ZOiS_2020!O460)</f>
        <v>-48732.1</v>
      </c>
      <c r="D26" s="48">
        <v>0</v>
      </c>
      <c r="E26" s="49"/>
      <c r="F26" s="49"/>
    </row>
    <row r="27" spans="1:6" x14ac:dyDescent="0.25">
      <c r="A27" s="23" t="s">
        <v>28</v>
      </c>
      <c r="B27" s="24" t="s">
        <v>42</v>
      </c>
      <c r="C27" s="25">
        <v>0</v>
      </c>
      <c r="D27" s="26">
        <v>1</v>
      </c>
      <c r="E27" s="6"/>
      <c r="F27" s="6"/>
    </row>
    <row r="28" spans="1:6" ht="15.75" thickBot="1" x14ac:dyDescent="0.3">
      <c r="A28" s="27" t="s">
        <v>22</v>
      </c>
      <c r="B28" s="28"/>
      <c r="C28" s="29">
        <f>C18</f>
        <v>736843.73999999976</v>
      </c>
      <c r="D28" s="30">
        <f>D18</f>
        <v>1</v>
      </c>
      <c r="E28" s="6"/>
      <c r="F28" s="6"/>
    </row>
    <row r="29" spans="1:6" ht="15.75" thickTop="1" x14ac:dyDescent="0.25">
      <c r="A29" s="50"/>
      <c r="B29" s="51"/>
      <c r="C29" s="6"/>
      <c r="D29" s="6"/>
      <c r="E29" s="6"/>
      <c r="F29" s="6"/>
    </row>
    <row r="30" spans="1:6" x14ac:dyDescent="0.25">
      <c r="A30" s="50"/>
      <c r="B30" s="51"/>
      <c r="C30" s="6"/>
      <c r="D30" s="6"/>
      <c r="E30" s="6"/>
      <c r="F30" s="6"/>
    </row>
    <row r="31" spans="1:6" ht="15.75" x14ac:dyDescent="0.25">
      <c r="A31" s="4" t="s">
        <v>43</v>
      </c>
      <c r="B31" s="4"/>
      <c r="C31" s="5"/>
      <c r="D31" s="5"/>
      <c r="E31" s="6"/>
      <c r="F31" s="6"/>
    </row>
    <row r="32" spans="1:6" ht="15.75" x14ac:dyDescent="0.25">
      <c r="A32" s="33" t="s">
        <v>44</v>
      </c>
      <c r="B32" s="33"/>
      <c r="C32" s="5"/>
      <c r="D32" s="5"/>
      <c r="E32" s="6"/>
      <c r="F32" s="6"/>
    </row>
    <row r="33" spans="1:6" ht="16.5" thickBot="1" x14ac:dyDescent="0.3">
      <c r="A33" s="34"/>
      <c r="B33" s="34"/>
      <c r="C33" s="5"/>
      <c r="D33" s="5"/>
      <c r="E33" s="6"/>
      <c r="F33" s="6"/>
    </row>
    <row r="34" spans="1:6" ht="15.75" thickTop="1" x14ac:dyDescent="0.25">
      <c r="A34" s="9" t="s">
        <v>2</v>
      </c>
      <c r="B34" s="10" t="s">
        <v>45</v>
      </c>
      <c r="C34" s="11" t="s">
        <v>46</v>
      </c>
      <c r="D34" s="11"/>
      <c r="E34" s="11"/>
      <c r="F34" s="12"/>
    </row>
    <row r="35" spans="1:6" x14ac:dyDescent="0.25">
      <c r="A35" s="13"/>
      <c r="B35" s="14"/>
      <c r="C35" s="15" t="s">
        <v>47</v>
      </c>
      <c r="D35" s="15" t="s">
        <v>48</v>
      </c>
      <c r="E35" s="15"/>
      <c r="F35" s="16"/>
    </row>
    <row r="36" spans="1:6" ht="25.5" x14ac:dyDescent="0.25">
      <c r="A36" s="13"/>
      <c r="B36" s="14"/>
      <c r="C36" s="15"/>
      <c r="D36" s="17" t="s">
        <v>7</v>
      </c>
      <c r="E36" s="17" t="s">
        <v>8</v>
      </c>
      <c r="F36" s="18" t="s">
        <v>9</v>
      </c>
    </row>
    <row r="37" spans="1:6" x14ac:dyDescent="0.25">
      <c r="A37" s="19" t="s">
        <v>10</v>
      </c>
      <c r="B37" s="20" t="s">
        <v>49</v>
      </c>
      <c r="C37" s="21">
        <v>0</v>
      </c>
      <c r="D37" s="21">
        <v>0</v>
      </c>
      <c r="E37" s="21">
        <v>0</v>
      </c>
      <c r="F37" s="22">
        <v>0</v>
      </c>
    </row>
    <row r="38" spans="1:6" x14ac:dyDescent="0.25">
      <c r="A38" s="23" t="s">
        <v>12</v>
      </c>
      <c r="B38" s="24" t="s">
        <v>50</v>
      </c>
      <c r="C38" s="25">
        <f>SUM(C39:C43)</f>
        <v>107938.98999999999</v>
      </c>
      <c r="D38" s="25">
        <f>SUM(D39:D43)</f>
        <v>0</v>
      </c>
      <c r="E38" s="25">
        <f>SUM(E39:E43)</f>
        <v>0</v>
      </c>
      <c r="F38" s="26">
        <f>SUM(F39:F43)</f>
        <v>0</v>
      </c>
    </row>
    <row r="39" spans="1:6" x14ac:dyDescent="0.25">
      <c r="A39" s="45"/>
      <c r="B39" s="46" t="s">
        <v>51</v>
      </c>
      <c r="C39" s="47">
        <v>0</v>
      </c>
      <c r="D39" s="47">
        <v>0</v>
      </c>
      <c r="E39" s="47">
        <v>0</v>
      </c>
      <c r="F39" s="48">
        <v>0</v>
      </c>
    </row>
    <row r="40" spans="1:6" x14ac:dyDescent="0.25">
      <c r="A40" s="45"/>
      <c r="B40" s="46" t="s">
        <v>52</v>
      </c>
      <c r="C40" s="47">
        <v>0</v>
      </c>
      <c r="D40" s="47">
        <v>0</v>
      </c>
      <c r="E40" s="47">
        <v>0</v>
      </c>
      <c r="F40" s="48">
        <v>0</v>
      </c>
    </row>
    <row r="41" spans="1:6" x14ac:dyDescent="0.25">
      <c r="A41" s="45"/>
      <c r="B41" s="46" t="s">
        <v>53</v>
      </c>
      <c r="C41" s="47">
        <f>[1]ZOiS_2020!O456+'[2]nota nr 26-27'!$C$66</f>
        <v>89925.61</v>
      </c>
      <c r="D41" s="47">
        <v>0</v>
      </c>
      <c r="E41" s="47">
        <v>0</v>
      </c>
      <c r="F41" s="48">
        <v>0</v>
      </c>
    </row>
    <row r="42" spans="1:6" x14ac:dyDescent="0.25">
      <c r="A42" s="45"/>
      <c r="B42" s="46" t="s">
        <v>54</v>
      </c>
      <c r="C42" s="47">
        <f>[1]ZOiS_2020!O455+[1]ZOiS_2020!O457</f>
        <v>6843.98</v>
      </c>
      <c r="D42" s="47">
        <v>0</v>
      </c>
      <c r="E42" s="47">
        <v>0</v>
      </c>
      <c r="F42" s="48">
        <v>0</v>
      </c>
    </row>
    <row r="43" spans="1:6" x14ac:dyDescent="0.25">
      <c r="A43" s="45"/>
      <c r="B43" s="46" t="s">
        <v>55</v>
      </c>
      <c r="C43" s="47">
        <f>[1]ZOiS_2020!O458+'[2]nota nr 26-27'!$C$68</f>
        <v>11169.4</v>
      </c>
      <c r="D43" s="47">
        <v>0</v>
      </c>
      <c r="E43" s="47">
        <v>0</v>
      </c>
      <c r="F43" s="48">
        <v>0</v>
      </c>
    </row>
    <row r="44" spans="1:6" x14ac:dyDescent="0.25">
      <c r="A44" s="23" t="s">
        <v>14</v>
      </c>
      <c r="B44" s="24" t="s">
        <v>56</v>
      </c>
      <c r="C44" s="25">
        <f>SUM(C45:C47)</f>
        <v>0</v>
      </c>
      <c r="D44" s="25">
        <f>SUM(D45:D47)</f>
        <v>0</v>
      </c>
      <c r="E44" s="25">
        <f>SUM(E45:E47)</f>
        <v>0</v>
      </c>
      <c r="F44" s="26">
        <f>SUM(F45:F47)</f>
        <v>0</v>
      </c>
    </row>
    <row r="45" spans="1:6" x14ac:dyDescent="0.25">
      <c r="A45" s="45"/>
      <c r="B45" s="46" t="s">
        <v>51</v>
      </c>
      <c r="C45" s="47"/>
      <c r="D45" s="47">
        <v>0</v>
      </c>
      <c r="E45" s="47"/>
      <c r="F45" s="48"/>
    </row>
    <row r="46" spans="1:6" x14ac:dyDescent="0.25">
      <c r="A46" s="45"/>
      <c r="B46" s="46" t="s">
        <v>52</v>
      </c>
      <c r="C46" s="47"/>
      <c r="D46" s="47">
        <v>0</v>
      </c>
      <c r="E46" s="47"/>
      <c r="F46" s="48"/>
    </row>
    <row r="47" spans="1:6" x14ac:dyDescent="0.25">
      <c r="A47" s="45"/>
      <c r="B47" s="46" t="s">
        <v>53</v>
      </c>
      <c r="C47" s="47"/>
      <c r="D47" s="47">
        <v>0</v>
      </c>
      <c r="E47" s="47"/>
      <c r="F47" s="48"/>
    </row>
    <row r="48" spans="1:6" x14ac:dyDescent="0.25">
      <c r="A48" s="23" t="s">
        <v>16</v>
      </c>
      <c r="B48" s="24" t="s">
        <v>57</v>
      </c>
      <c r="C48" s="21">
        <v>0</v>
      </c>
      <c r="D48" s="21">
        <v>0</v>
      </c>
      <c r="E48" s="21">
        <v>0</v>
      </c>
      <c r="F48" s="22">
        <v>0</v>
      </c>
    </row>
    <row r="49" spans="1:6" ht="15.75" thickBot="1" x14ac:dyDescent="0.3">
      <c r="A49" s="27" t="s">
        <v>22</v>
      </c>
      <c r="B49" s="28"/>
      <c r="C49" s="29">
        <f>C37+C38+C44+C48</f>
        <v>107938.98999999999</v>
      </c>
      <c r="D49" s="29">
        <f>D37+D38+D44+D48</f>
        <v>0</v>
      </c>
      <c r="E49" s="29">
        <f>E37+E38+E44+E48</f>
        <v>0</v>
      </c>
      <c r="F49" s="30">
        <f>F37+F38+F44+F48</f>
        <v>0</v>
      </c>
    </row>
    <row r="50" spans="1:6" ht="15.75" thickTop="1" x14ac:dyDescent="0.25">
      <c r="A50" s="50"/>
      <c r="B50" s="51"/>
      <c r="C50" s="6"/>
      <c r="D50" s="6"/>
      <c r="E50" s="6"/>
      <c r="F50" s="6"/>
    </row>
    <row r="51" spans="1:6" ht="15.75" x14ac:dyDescent="0.25">
      <c r="A51" s="33" t="s">
        <v>23</v>
      </c>
      <c r="B51" s="33"/>
      <c r="C51" s="6"/>
      <c r="D51" s="6"/>
      <c r="E51" s="6"/>
      <c r="F51" s="6"/>
    </row>
    <row r="52" spans="1:6" ht="15.75" x14ac:dyDescent="0.25">
      <c r="A52" s="34"/>
      <c r="B52" s="52" t="s">
        <v>58</v>
      </c>
      <c r="C52" s="6"/>
      <c r="D52" s="6"/>
      <c r="E52" s="6"/>
      <c r="F52" s="6"/>
    </row>
    <row r="53" spans="1:6" x14ac:dyDescent="0.25">
      <c r="A53" s="50"/>
      <c r="B53" s="51"/>
      <c r="C53" s="6"/>
      <c r="D53" s="6"/>
      <c r="E53" s="6"/>
      <c r="F53" s="6"/>
    </row>
    <row r="54" spans="1:6" ht="15.75" x14ac:dyDescent="0.25">
      <c r="A54" s="33" t="s">
        <v>59</v>
      </c>
      <c r="B54" s="33"/>
      <c r="C54" s="5"/>
      <c r="D54" s="5"/>
      <c r="E54" s="6"/>
      <c r="F54" s="6"/>
    </row>
    <row r="55" spans="1:6" ht="16.5" thickBot="1" x14ac:dyDescent="0.3">
      <c r="A55" s="34"/>
      <c r="B55" s="34"/>
      <c r="C55" s="5"/>
      <c r="D55" s="5"/>
      <c r="E55" s="6"/>
      <c r="F55" s="6"/>
    </row>
    <row r="56" spans="1:6" ht="15.75" thickTop="1" x14ac:dyDescent="0.25">
      <c r="A56" s="35" t="s">
        <v>2</v>
      </c>
      <c r="B56" s="36" t="s">
        <v>25</v>
      </c>
      <c r="C56" s="37" t="s">
        <v>31</v>
      </c>
      <c r="D56" s="38" t="s">
        <v>32</v>
      </c>
      <c r="E56" s="6"/>
      <c r="F56" s="6"/>
    </row>
    <row r="57" spans="1:6" x14ac:dyDescent="0.25">
      <c r="A57" s="40" t="s">
        <v>12</v>
      </c>
      <c r="B57" s="41" t="s">
        <v>60</v>
      </c>
      <c r="C57" s="42">
        <f>SUM(C58:C66)-SUM(C60:C65)</f>
        <v>51.62</v>
      </c>
      <c r="D57" s="43">
        <f>SUM(D58:D66)-SUM(D60:D65)</f>
        <v>-52210.569999999949</v>
      </c>
      <c r="E57" s="6"/>
      <c r="F57" s="6"/>
    </row>
    <row r="58" spans="1:6" x14ac:dyDescent="0.25">
      <c r="A58" s="23" t="s">
        <v>26</v>
      </c>
      <c r="B58" s="24" t="s">
        <v>61</v>
      </c>
      <c r="C58" s="25">
        <v>0</v>
      </c>
      <c r="D58" s="26">
        <v>0</v>
      </c>
      <c r="E58" s="6"/>
      <c r="F58" s="6"/>
    </row>
    <row r="59" spans="1:6" x14ac:dyDescent="0.25">
      <c r="A59" s="23" t="s">
        <v>27</v>
      </c>
      <c r="B59" s="24" t="s">
        <v>62</v>
      </c>
      <c r="C59" s="25">
        <f>SUM(C60:C65)</f>
        <v>51.62</v>
      </c>
      <c r="D59" s="26">
        <f>SUM(D60:D65)</f>
        <v>-51923.00999999998</v>
      </c>
      <c r="E59" s="6"/>
      <c r="F59" s="6"/>
    </row>
    <row r="60" spans="1:6" x14ac:dyDescent="0.25">
      <c r="A60" s="45"/>
      <c r="B60" s="46" t="s">
        <v>36</v>
      </c>
      <c r="C60" s="47">
        <v>0</v>
      </c>
      <c r="D60" s="48">
        <f>-[1]ZOiS_2019!O464</f>
        <v>487703.59</v>
      </c>
      <c r="E60" s="53"/>
      <c r="F60" s="53"/>
    </row>
    <row r="61" spans="1:6" x14ac:dyDescent="0.25">
      <c r="A61" s="45"/>
      <c r="B61" s="46" t="s">
        <v>37</v>
      </c>
      <c r="C61" s="47">
        <v>0</v>
      </c>
      <c r="D61" s="48">
        <f>-[1]ZOiS_2019!O472</f>
        <v>-595155.39</v>
      </c>
      <c r="E61" s="53"/>
      <c r="F61" s="53"/>
    </row>
    <row r="62" spans="1:6" x14ac:dyDescent="0.25">
      <c r="A62" s="45"/>
      <c r="B62" s="46" t="s">
        <v>38</v>
      </c>
      <c r="C62" s="47">
        <v>0</v>
      </c>
      <c r="D62" s="48">
        <v>0</v>
      </c>
      <c r="E62" s="53"/>
      <c r="F62" s="53"/>
    </row>
    <row r="63" spans="1:6" x14ac:dyDescent="0.25">
      <c r="A63" s="45"/>
      <c r="B63" s="46" t="s">
        <v>39</v>
      </c>
      <c r="C63" s="47">
        <v>0</v>
      </c>
      <c r="D63" s="48">
        <v>0</v>
      </c>
      <c r="E63" s="53"/>
      <c r="F63" s="53"/>
    </row>
    <row r="64" spans="1:6" x14ac:dyDescent="0.25">
      <c r="A64" s="45"/>
      <c r="B64" s="46" t="s">
        <v>40</v>
      </c>
      <c r="C64" s="47">
        <v>0</v>
      </c>
      <c r="D64" s="48">
        <f>-([1]ZOiS_2019!O462+[1]ZOiS_2019!O463)</f>
        <v>130167.1</v>
      </c>
      <c r="E64" s="53"/>
      <c r="F64" s="53"/>
    </row>
    <row r="65" spans="1:6" x14ac:dyDescent="0.25">
      <c r="A65" s="45"/>
      <c r="B65" s="46" t="s">
        <v>41</v>
      </c>
      <c r="C65" s="47">
        <f>'[2]nota nr 26-27'!$C$104</f>
        <v>51.62</v>
      </c>
      <c r="D65" s="48">
        <f>-[1]ZOiS_2019!O471</f>
        <v>-74638.31</v>
      </c>
      <c r="E65" s="53"/>
      <c r="F65" s="53"/>
    </row>
    <row r="66" spans="1:6" x14ac:dyDescent="0.25">
      <c r="A66" s="23" t="s">
        <v>28</v>
      </c>
      <c r="B66" s="24" t="s">
        <v>63</v>
      </c>
      <c r="C66" s="25">
        <v>0</v>
      </c>
      <c r="D66" s="26">
        <f>-'[2]nota nr 26-27'!$D$115</f>
        <v>-287.56</v>
      </c>
      <c r="E66" s="6"/>
      <c r="F66" s="6"/>
    </row>
    <row r="67" spans="1:6" ht="15.75" thickBot="1" x14ac:dyDescent="0.3">
      <c r="A67" s="27" t="s">
        <v>22</v>
      </c>
      <c r="B67" s="28"/>
      <c r="C67" s="29">
        <f>C57</f>
        <v>51.62</v>
      </c>
      <c r="D67" s="30">
        <f>D57</f>
        <v>-52210.569999999949</v>
      </c>
      <c r="E67" s="6"/>
      <c r="F67" s="6"/>
    </row>
    <row r="68" spans="1:6" ht="15.75" thickTop="1" x14ac:dyDescent="0.25"/>
  </sheetData>
  <mergeCells count="21">
    <mergeCell ref="A49:B49"/>
    <mergeCell ref="A51:B51"/>
    <mergeCell ref="A54:B54"/>
    <mergeCell ref="A67:B67"/>
    <mergeCell ref="A32:B32"/>
    <mergeCell ref="A34:A36"/>
    <mergeCell ref="B34:B36"/>
    <mergeCell ref="C34:F34"/>
    <mergeCell ref="C35:C36"/>
    <mergeCell ref="D35:F35"/>
    <mergeCell ref="A13:B13"/>
    <mergeCell ref="A15:B15"/>
    <mergeCell ref="A28:B28"/>
    <mergeCell ref="A31:B31"/>
    <mergeCell ref="A1:B1"/>
    <mergeCell ref="A2:D2"/>
    <mergeCell ref="A4:A6"/>
    <mergeCell ref="B4:B6"/>
    <mergeCell ref="C4:F4"/>
    <mergeCell ref="C5:C6"/>
    <mergeCell ref="D5:F5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view="pageBreakPreview" topLeftCell="A13" zoomScale="85" zoomScaleNormal="85" zoomScaleSheetLayoutView="85" workbookViewId="0">
      <selection activeCell="B13" sqref="B13"/>
    </sheetView>
  </sheetViews>
  <sheetFormatPr defaultRowHeight="15" x14ac:dyDescent="0.25"/>
  <cols>
    <col min="1" max="1" width="3.7109375" style="56" customWidth="1"/>
    <col min="2" max="2" width="92.85546875" style="56" customWidth="1"/>
    <col min="3" max="3" width="24.28515625" style="56" customWidth="1"/>
  </cols>
  <sheetData>
    <row r="1" spans="1:3" ht="15.75" x14ac:dyDescent="0.25">
      <c r="A1" s="54" t="s">
        <v>64</v>
      </c>
      <c r="B1" s="55"/>
    </row>
    <row r="2" spans="1:3" ht="15.75" x14ac:dyDescent="0.25">
      <c r="A2" s="57" t="s">
        <v>65</v>
      </c>
      <c r="B2" s="55"/>
    </row>
    <row r="3" spans="1:3" ht="15.75" thickBot="1" x14ac:dyDescent="0.3"/>
    <row r="4" spans="1:3" ht="15.75" thickTop="1" x14ac:dyDescent="0.25">
      <c r="A4" s="58" t="s">
        <v>2</v>
      </c>
      <c r="B4" s="59" t="s">
        <v>25</v>
      </c>
      <c r="C4" s="60" t="s">
        <v>66</v>
      </c>
    </row>
    <row r="5" spans="1:3" x14ac:dyDescent="0.25">
      <c r="A5" s="61" t="s">
        <v>67</v>
      </c>
      <c r="B5" s="41" t="s">
        <v>68</v>
      </c>
      <c r="C5" s="62">
        <f>'[1]RZiS-kalkulacyjny'!D41</f>
        <v>334963.62998196005</v>
      </c>
    </row>
    <row r="6" spans="1:3" x14ac:dyDescent="0.25">
      <c r="A6" s="61" t="s">
        <v>69</v>
      </c>
      <c r="B6" s="41" t="s">
        <v>70</v>
      </c>
      <c r="C6" s="62">
        <f>2402060.63+245176.31-C5</f>
        <v>2312273.3100180398</v>
      </c>
    </row>
    <row r="7" spans="1:3" x14ac:dyDescent="0.25">
      <c r="A7" s="61" t="s">
        <v>71</v>
      </c>
      <c r="B7" s="41" t="s">
        <v>72</v>
      </c>
      <c r="C7" s="62">
        <f>2402060.63+245176.31</f>
        <v>2647236.94</v>
      </c>
    </row>
    <row r="8" spans="1:3" x14ac:dyDescent="0.25">
      <c r="A8" s="63" t="s">
        <v>73</v>
      </c>
      <c r="B8" s="64" t="s">
        <v>74</v>
      </c>
      <c r="C8" s="65">
        <f>C9</f>
        <v>-1960858</v>
      </c>
    </row>
    <row r="9" spans="1:3" x14ac:dyDescent="0.25">
      <c r="A9" s="66" t="s">
        <v>75</v>
      </c>
      <c r="B9" s="46" t="s">
        <v>76</v>
      </c>
      <c r="C9" s="67">
        <f>[3]PDOP_122020_księgi!$B$83-9500</f>
        <v>-1960858</v>
      </c>
    </row>
    <row r="10" spans="1:3" x14ac:dyDescent="0.25">
      <c r="A10" s="68" t="s">
        <v>77</v>
      </c>
      <c r="B10" s="41" t="s">
        <v>78</v>
      </c>
      <c r="C10" s="62">
        <f>C11+C12+C13+C14+C15+C16</f>
        <v>-7344611.7799999993</v>
      </c>
    </row>
    <row r="11" spans="1:3" x14ac:dyDescent="0.25">
      <c r="A11" s="69" t="s">
        <v>75</v>
      </c>
      <c r="B11" s="46" t="s">
        <v>79</v>
      </c>
      <c r="C11" s="70">
        <f>([3]PDOP_122020_księgi!$B$101+[3]PDOP_122020_księgi!$B$102+[3]PDOP_122020_księgi!$B$105+[3]PDOP_122020_księgi!$B$109+[3]PDOP_122020_księgi!$B$110)</f>
        <v>-1056487.3500000003</v>
      </c>
    </row>
    <row r="12" spans="1:3" x14ac:dyDescent="0.25">
      <c r="A12" s="69" t="s">
        <v>75</v>
      </c>
      <c r="B12" s="46" t="s">
        <v>80</v>
      </c>
      <c r="C12" s="70">
        <f>([3]PDOP_122020_księgi!$B$80+[3]PDOP_122020_księgi!$B$81+[3]PDOP_122020_księgi!$B$82+[3]PDOP_122020_księgi!$B$107+[3]PDOP_122020_księgi!$B$108+[3]PDOP_122020_księgi!$B$96)</f>
        <v>-3012196.7600000002</v>
      </c>
    </row>
    <row r="13" spans="1:3" x14ac:dyDescent="0.25">
      <c r="A13" s="69" t="s">
        <v>75</v>
      </c>
      <c r="B13" s="46" t="s">
        <v>81</v>
      </c>
      <c r="C13" s="70">
        <f>[3]PDOP_122020_księgi!$B$125+[3]PDOP_122020_księgi!$B$126+[3]PDOP_122020_księgi!$B$121</f>
        <v>-2387799.5499999998</v>
      </c>
    </row>
    <row r="14" spans="1:3" x14ac:dyDescent="0.25">
      <c r="A14" s="69" t="s">
        <v>75</v>
      </c>
      <c r="B14" s="46" t="s">
        <v>82</v>
      </c>
      <c r="C14" s="70">
        <f>[3]PDOP_122020_księgi!$B$114</f>
        <v>-211385.06</v>
      </c>
    </row>
    <row r="15" spans="1:3" x14ac:dyDescent="0.25">
      <c r="A15" s="69" t="s">
        <v>75</v>
      </c>
      <c r="B15" s="46" t="s">
        <v>83</v>
      </c>
      <c r="C15" s="70">
        <f>[3]PDOP_122020_księgi!$B$94+[3]PDOP_122020_księgi!$B$78+[3]PDOP_122020_księgi!$B$84</f>
        <v>-25876.590000000004</v>
      </c>
    </row>
    <row r="16" spans="1:3" x14ac:dyDescent="0.25">
      <c r="A16" s="69" t="s">
        <v>75</v>
      </c>
      <c r="B16" s="46" t="s">
        <v>84</v>
      </c>
      <c r="C16" s="70">
        <f>[3]PDOP_122020_księgi!$B$85+[3]PDOP_122020_księgi!$B$86+[3]PDOP_122020_księgi!$B$87+[3]PDOP_122020_księgi!$B$88+[3]PDOP_122020_księgi!$B$79</f>
        <v>-650866.46999999986</v>
      </c>
    </row>
    <row r="17" spans="1:3" x14ac:dyDescent="0.25">
      <c r="A17" s="68" t="s">
        <v>85</v>
      </c>
      <c r="B17" s="41" t="s">
        <v>86</v>
      </c>
      <c r="C17" s="62">
        <f>C18+C19+C20</f>
        <v>13915574.810000001</v>
      </c>
    </row>
    <row r="18" spans="1:3" x14ac:dyDescent="0.25">
      <c r="A18" s="69" t="s">
        <v>75</v>
      </c>
      <c r="B18" s="46" t="s">
        <v>87</v>
      </c>
      <c r="C18" s="70">
        <f>[3]PDOP_122020_księgi!$B$117</f>
        <v>13827175.98</v>
      </c>
    </row>
    <row r="19" spans="1:3" x14ac:dyDescent="0.25">
      <c r="A19" s="69" t="s">
        <v>75</v>
      </c>
      <c r="B19" s="46" t="s">
        <v>88</v>
      </c>
      <c r="C19" s="70">
        <f>[3]PDOP_122020_księgi!$B$112+[3]PDOP_122020_księgi!$B$113</f>
        <v>48458.83</v>
      </c>
    </row>
    <row r="20" spans="1:3" x14ac:dyDescent="0.25">
      <c r="A20" s="69" t="s">
        <v>75</v>
      </c>
      <c r="B20" s="46" t="s">
        <v>89</v>
      </c>
      <c r="C20" s="70">
        <f>[3]PDOP_122020_księgi!$B$119+[3]PDOP_122020_księgi!$B$120</f>
        <v>39940</v>
      </c>
    </row>
    <row r="21" spans="1:3" ht="25.5" x14ac:dyDescent="0.25">
      <c r="A21" s="68" t="s">
        <v>90</v>
      </c>
      <c r="B21" s="71" t="s">
        <v>91</v>
      </c>
      <c r="C21" s="72">
        <f>C22+C23+C24+C28+C25+C26+C27</f>
        <v>4110090.5599999991</v>
      </c>
    </row>
    <row r="22" spans="1:3" x14ac:dyDescent="0.25">
      <c r="A22" s="73" t="s">
        <v>75</v>
      </c>
      <c r="B22" s="74" t="s">
        <v>92</v>
      </c>
      <c r="C22" s="75">
        <f>-[3]PDOP_122020_księgi!$B$144</f>
        <v>46806.7</v>
      </c>
    </row>
    <row r="23" spans="1:3" x14ac:dyDescent="0.25">
      <c r="A23" s="73" t="s">
        <v>75</v>
      </c>
      <c r="B23" s="74" t="s">
        <v>93</v>
      </c>
      <c r="C23" s="75">
        <f>-[3]PDOP_122020_księgi!$B$145</f>
        <v>131457.60000000001</v>
      </c>
    </row>
    <row r="24" spans="1:3" x14ac:dyDescent="0.25">
      <c r="A24" s="73" t="s">
        <v>75</v>
      </c>
      <c r="B24" s="74" t="s">
        <v>94</v>
      </c>
      <c r="C24" s="75">
        <f>-[3]PDOP_122020_księgi!$B$146+157343</f>
        <v>866515.58</v>
      </c>
    </row>
    <row r="25" spans="1:3" x14ac:dyDescent="0.25">
      <c r="A25" s="73" t="s">
        <v>75</v>
      </c>
      <c r="B25" s="74" t="s">
        <v>95</v>
      </c>
      <c r="C25" s="75">
        <f>-([3]PDOP_122020_księgi!$B$192+[3]PDOP_122020_księgi!$B$193+[3]PDOP_122020_księgi!$B$194)+41849.28</f>
        <v>1137123.6199999999</v>
      </c>
    </row>
    <row r="26" spans="1:3" x14ac:dyDescent="0.25">
      <c r="A26" s="73" t="s">
        <v>75</v>
      </c>
      <c r="B26" s="74" t="s">
        <v>96</v>
      </c>
      <c r="C26" s="75">
        <f>-[3]PDOP_122020_księgi!$B$171</f>
        <v>972940.67</v>
      </c>
    </row>
    <row r="27" spans="1:3" x14ac:dyDescent="0.25">
      <c r="A27" s="73" t="s">
        <v>75</v>
      </c>
      <c r="B27" s="74" t="s">
        <v>76</v>
      </c>
      <c r="C27" s="75">
        <f>-[3]PDOP_122020_księgi!$B$175</f>
        <v>55351.82</v>
      </c>
    </row>
    <row r="28" spans="1:3" x14ac:dyDescent="0.25">
      <c r="A28" s="73" t="s">
        <v>75</v>
      </c>
      <c r="B28" s="74" t="s">
        <v>97</v>
      </c>
      <c r="C28" s="75">
        <f>-([3]PDOP_122020_księgi!$B$149+[3]PDOP_122020_księgi!$B$168)+62137.23+69833.72+248972.62+61102.15</f>
        <v>899894.57</v>
      </c>
    </row>
    <row r="29" spans="1:3" x14ac:dyDescent="0.25">
      <c r="A29" s="68" t="s">
        <v>98</v>
      </c>
      <c r="B29" s="71" t="s">
        <v>99</v>
      </c>
      <c r="C29" s="76">
        <f>C30+C36+C31+C32+C33+C34+C35+C37</f>
        <v>78472467.560000002</v>
      </c>
    </row>
    <row r="30" spans="1:3" x14ac:dyDescent="0.25">
      <c r="A30" s="73" t="s">
        <v>75</v>
      </c>
      <c r="B30" s="74" t="s">
        <v>100</v>
      </c>
      <c r="C30" s="75">
        <f>-([3]PDOP_122020_księgi!$B$147)+18991.51</f>
        <v>867277.97</v>
      </c>
    </row>
    <row r="31" spans="1:3" x14ac:dyDescent="0.25">
      <c r="A31" s="73" t="s">
        <v>75</v>
      </c>
      <c r="B31" s="74" t="s">
        <v>101</v>
      </c>
      <c r="C31" s="75">
        <f>-([3]PDOP_122020_księgi!$B$240)</f>
        <v>393925.56</v>
      </c>
    </row>
    <row r="32" spans="1:3" x14ac:dyDescent="0.25">
      <c r="A32" s="73" t="s">
        <v>75</v>
      </c>
      <c r="B32" s="74" t="s">
        <v>102</v>
      </c>
      <c r="C32" s="75">
        <f>-([3]PDOP_122020_księgi!$B$223+[3]PDOP_122020_księgi!$B$230)+206056.1</f>
        <v>1059221.9400000002</v>
      </c>
    </row>
    <row r="33" spans="1:3" x14ac:dyDescent="0.25">
      <c r="A33" s="73" t="s">
        <v>75</v>
      </c>
      <c r="B33" s="74" t="s">
        <v>103</v>
      </c>
      <c r="C33" s="75">
        <f>-([3]PDOP_122020_księgi!$B$201+[3]PDOP_122020_księgi!$B$224+[3]PDOP_122020_księgi!$B$225+[3]PDOP_122020_księgi!$B$234+[3]PDOP_122020_księgi!$B$238)</f>
        <v>2360810.56</v>
      </c>
    </row>
    <row r="34" spans="1:3" x14ac:dyDescent="0.25">
      <c r="A34" s="73" t="s">
        <v>75</v>
      </c>
      <c r="B34" s="74" t="s">
        <v>104</v>
      </c>
      <c r="C34" s="75">
        <f>-([3]PDOP_122020_księgi!$B$197)</f>
        <v>2664296.9699999997</v>
      </c>
    </row>
    <row r="35" spans="1:3" x14ac:dyDescent="0.25">
      <c r="A35" s="73" t="s">
        <v>75</v>
      </c>
      <c r="B35" s="74" t="s">
        <v>105</v>
      </c>
      <c r="C35" s="75">
        <f>-([3]PDOP_122020_księgi!$B$207+[3]PDOP_122020_księgi!$B$208+[3]PDOP_122020_księgi!$B$209+[3]PDOP_122020_księgi!$B$210+[3]PDOP_122020_księgi!$B$211+[3]PDOP_122020_księgi!$B$212+[3]PDOP_122020_księgi!$B$213+[3]PDOP_122020_księgi!$B$214+[3]PDOP_122020_księgi!$B$215+[3]PDOP_122020_księgi!$B$216)</f>
        <v>723085.03</v>
      </c>
    </row>
    <row r="36" spans="1:3" x14ac:dyDescent="0.25">
      <c r="A36" s="73" t="s">
        <v>75</v>
      </c>
      <c r="B36" s="74" t="s">
        <v>106</v>
      </c>
      <c r="C36" s="75">
        <f>-([3]PDOP_122020_księgi!$B$155)+844176.45</f>
        <v>67640335.560000002</v>
      </c>
    </row>
    <row r="37" spans="1:3" x14ac:dyDescent="0.25">
      <c r="A37" s="73" t="s">
        <v>75</v>
      </c>
      <c r="B37" s="74" t="s">
        <v>107</v>
      </c>
      <c r="C37" s="75">
        <f>-([3]PDOP_122020_księgi!$B$154)</f>
        <v>2763513.97</v>
      </c>
    </row>
    <row r="38" spans="1:3" ht="24.75" customHeight="1" x14ac:dyDescent="0.25">
      <c r="A38" s="77" t="s">
        <v>108</v>
      </c>
      <c r="B38" s="71" t="s">
        <v>109</v>
      </c>
      <c r="C38" s="72">
        <f>C39+C40+C41+C43+C42</f>
        <v>-92055977.880000025</v>
      </c>
    </row>
    <row r="39" spans="1:3" x14ac:dyDescent="0.25">
      <c r="A39" s="78" t="s">
        <v>75</v>
      </c>
      <c r="B39" s="74" t="s">
        <v>110</v>
      </c>
      <c r="C39" s="75">
        <f>[3]PDOP_122020_księgi!$B$124</f>
        <v>-158726.43</v>
      </c>
    </row>
    <row r="40" spans="1:3" x14ac:dyDescent="0.25">
      <c r="A40" s="78" t="s">
        <v>75</v>
      </c>
      <c r="B40" s="74" t="s">
        <v>111</v>
      </c>
      <c r="C40" s="75">
        <f>-([3]PDOP_122020_księgi!$B$156+[3]PDOP_122020_księgi!$B$151)-624225.4</f>
        <v>-89933537.260000005</v>
      </c>
    </row>
    <row r="41" spans="1:3" x14ac:dyDescent="0.25">
      <c r="A41" s="78" t="s">
        <v>75</v>
      </c>
      <c r="B41" s="74" t="s">
        <v>112</v>
      </c>
      <c r="C41" s="75">
        <f>-([3]PDOP_122020_księgi!$B$160+[3]PDOP_122020_księgi!$B$159+[3]PDOP_122020_księgi!$B$150)</f>
        <v>-713742.3200000003</v>
      </c>
    </row>
    <row r="42" spans="1:3" x14ac:dyDescent="0.25">
      <c r="A42" s="78" t="s">
        <v>75</v>
      </c>
      <c r="B42" s="74" t="s">
        <v>113</v>
      </c>
      <c r="C42" s="75">
        <f>-[3]PDOP_122020_księgi!$B$256</f>
        <v>-1030897.39</v>
      </c>
    </row>
    <row r="43" spans="1:3" x14ac:dyDescent="0.25">
      <c r="A43" s="78" t="s">
        <v>75</v>
      </c>
      <c r="B43" s="74" t="s">
        <v>97</v>
      </c>
      <c r="C43" s="75">
        <f>-([3]PDOP_122020_księgi!$B$217+[3]PDOP_122020_księgi!$B$218)+2973.49</f>
        <v>-219074.47999999998</v>
      </c>
    </row>
    <row r="44" spans="1:3" x14ac:dyDescent="0.25">
      <c r="A44" s="79" t="s">
        <v>114</v>
      </c>
      <c r="B44" s="64" t="s">
        <v>115</v>
      </c>
      <c r="C44" s="65">
        <v>174235.29</v>
      </c>
    </row>
    <row r="45" spans="1:3" x14ac:dyDescent="0.25">
      <c r="A45" s="79" t="s">
        <v>116</v>
      </c>
      <c r="B45" s="64" t="s">
        <v>117</v>
      </c>
      <c r="C45" s="65">
        <v>570706.06000000006</v>
      </c>
    </row>
    <row r="46" spans="1:3" x14ac:dyDescent="0.25">
      <c r="A46" s="79" t="s">
        <v>118</v>
      </c>
      <c r="B46" s="64" t="s">
        <v>65</v>
      </c>
      <c r="C46" s="65">
        <f>IF(C45&gt;0,ROUNDDOWN(0.19*C45,0),0)</f>
        <v>108434</v>
      </c>
    </row>
    <row r="47" spans="1:3" x14ac:dyDescent="0.25">
      <c r="A47" s="79" t="s">
        <v>119</v>
      </c>
      <c r="B47" s="64" t="s">
        <v>120</v>
      </c>
      <c r="C47" s="65">
        <v>88833</v>
      </c>
    </row>
    <row r="48" spans="1:3" x14ac:dyDescent="0.25">
      <c r="A48" s="79" t="s">
        <v>121</v>
      </c>
      <c r="B48" s="64" t="s">
        <v>122</v>
      </c>
      <c r="C48" s="80">
        <f>[1]Aktywa!E38-[1]Aktywa!D38+[1]Pasywa!D17-[1]Pasywa!E17+22790</f>
        <v>580312.45879656821</v>
      </c>
    </row>
    <row r="49" spans="1:3" ht="15.75" thickBot="1" x14ac:dyDescent="0.3">
      <c r="A49" s="81" t="s">
        <v>123</v>
      </c>
      <c r="B49" s="82" t="s">
        <v>124</v>
      </c>
      <c r="C49" s="83">
        <f>C47+C48+C46</f>
        <v>777579.45879656821</v>
      </c>
    </row>
    <row r="50" spans="1:3" ht="15.75" thickTop="1" x14ac:dyDescent="0.25">
      <c r="A50" s="84"/>
      <c r="B50" s="85"/>
      <c r="C50" s="86"/>
    </row>
    <row r="51" spans="1:3" x14ac:dyDescent="0.25">
      <c r="C51" s="87"/>
    </row>
    <row r="52" spans="1:3" x14ac:dyDescent="0.25">
      <c r="C52" s="87"/>
    </row>
    <row r="54" spans="1:3" x14ac:dyDescent="0.25">
      <c r="A54" s="88"/>
      <c r="B54" s="88"/>
      <c r="C54" s="88"/>
    </row>
    <row r="55" spans="1:3" x14ac:dyDescent="0.25">
      <c r="C55" s="87"/>
    </row>
  </sheetData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view="pageBreakPreview" topLeftCell="A25" zoomScale="85" zoomScaleNormal="85" zoomScaleSheetLayoutView="85" workbookViewId="0">
      <selection activeCell="B45" sqref="B45"/>
    </sheetView>
  </sheetViews>
  <sheetFormatPr defaultRowHeight="15" x14ac:dyDescent="0.25"/>
  <cols>
    <col min="1" max="1" width="4.28515625" style="125" customWidth="1"/>
    <col min="2" max="2" width="46.85546875" style="126" bestFit="1" customWidth="1"/>
    <col min="3" max="3" width="16.85546875" style="127" customWidth="1"/>
    <col min="4" max="4" width="14" style="127" customWidth="1"/>
    <col min="5" max="5" width="22.140625" style="127" customWidth="1"/>
    <col min="6" max="6" width="15" style="127" customWidth="1"/>
    <col min="7" max="7" width="12.42578125" style="127" customWidth="1"/>
    <col min="8" max="8" width="19" style="127" customWidth="1"/>
  </cols>
  <sheetData>
    <row r="1" spans="1:8" ht="15.75" x14ac:dyDescent="0.25">
      <c r="A1" s="89" t="s">
        <v>125</v>
      </c>
      <c r="B1" s="90"/>
      <c r="C1" s="91"/>
      <c r="D1" s="92"/>
      <c r="E1" s="92"/>
      <c r="F1" s="87"/>
      <c r="G1" s="87"/>
      <c r="H1" s="87"/>
    </row>
    <row r="2" spans="1:8" ht="15.75" x14ac:dyDescent="0.25">
      <c r="A2" s="93" t="s">
        <v>126</v>
      </c>
      <c r="B2" s="93"/>
      <c r="C2" s="93"/>
      <c r="D2" s="93"/>
      <c r="E2" s="93"/>
      <c r="F2" s="87"/>
      <c r="G2" s="87"/>
      <c r="H2" s="87"/>
    </row>
    <row r="3" spans="1:8" ht="15.75" thickBot="1" x14ac:dyDescent="0.3">
      <c r="A3" s="87"/>
      <c r="B3" s="87"/>
      <c r="C3" s="87"/>
      <c r="D3" s="87"/>
      <c r="E3" s="87"/>
      <c r="F3" s="87"/>
      <c r="G3" s="87"/>
      <c r="H3" s="87"/>
    </row>
    <row r="4" spans="1:8" ht="15.75" thickTop="1" x14ac:dyDescent="0.25">
      <c r="A4" s="94" t="s">
        <v>2</v>
      </c>
      <c r="B4" s="95" t="s">
        <v>127</v>
      </c>
      <c r="C4" s="96" t="s">
        <v>128</v>
      </c>
      <c r="D4" s="96"/>
      <c r="E4" s="95" t="s">
        <v>129</v>
      </c>
      <c r="F4" s="96" t="s">
        <v>128</v>
      </c>
      <c r="G4" s="96"/>
      <c r="H4" s="97" t="s">
        <v>130</v>
      </c>
    </row>
    <row r="5" spans="1:8" x14ac:dyDescent="0.25">
      <c r="A5" s="98"/>
      <c r="B5" s="99"/>
      <c r="C5" s="100" t="s">
        <v>131</v>
      </c>
      <c r="D5" s="100" t="s">
        <v>132</v>
      </c>
      <c r="E5" s="99"/>
      <c r="F5" s="100" t="s">
        <v>133</v>
      </c>
      <c r="G5" s="100" t="s">
        <v>132</v>
      </c>
      <c r="H5" s="101"/>
    </row>
    <row r="6" spans="1:8" x14ac:dyDescent="0.25">
      <c r="A6" s="102">
        <v>1</v>
      </c>
      <c r="B6" s="103" t="s">
        <v>134</v>
      </c>
      <c r="C6" s="103">
        <f>SUM(C7:C22)</f>
        <v>142563261.91999999</v>
      </c>
      <c r="D6" s="104"/>
      <c r="E6" s="103">
        <f>SUM(E7:E21)</f>
        <v>27087019.620000001</v>
      </c>
      <c r="F6" s="103">
        <f>SUM(F7:F21)</f>
        <v>143930752.92999998</v>
      </c>
      <c r="G6" s="104"/>
      <c r="H6" s="105">
        <f>SUM(H7:H21)</f>
        <v>27346845.079999998</v>
      </c>
    </row>
    <row r="7" spans="1:8" x14ac:dyDescent="0.25">
      <c r="A7" s="106" t="s">
        <v>26</v>
      </c>
      <c r="B7" s="107" t="s">
        <v>135</v>
      </c>
      <c r="C7" s="108">
        <f>'[4]nota 24 (p)'!$C$7+'[2]nota 28'!$C$14</f>
        <v>3367578.12</v>
      </c>
      <c r="D7" s="109">
        <v>0.19</v>
      </c>
      <c r="E7" s="107">
        <f>ROUND(C7*D7,0)-0.38</f>
        <v>639839.62</v>
      </c>
      <c r="F7" s="107">
        <f>'[4]nota 24 (p)'!$F$7+'[2]nota 28'!$F$14</f>
        <v>2613319.16</v>
      </c>
      <c r="G7" s="109">
        <v>0.19</v>
      </c>
      <c r="H7" s="110">
        <f>ROUND(F7*G7,0)</f>
        <v>496531</v>
      </c>
    </row>
    <row r="8" spans="1:8" x14ac:dyDescent="0.25">
      <c r="A8" s="106" t="s">
        <v>27</v>
      </c>
      <c r="B8" s="107" t="s">
        <v>136</v>
      </c>
      <c r="C8" s="108">
        <f>'[4]nota 24 (p)'!$C$8+'[2]nota 28'!$C$15</f>
        <v>79700</v>
      </c>
      <c r="D8" s="109">
        <v>0.19</v>
      </c>
      <c r="E8" s="107">
        <f>ROUND(C8*D8,0)</f>
        <v>15143</v>
      </c>
      <c r="F8" s="107">
        <f>'[4]nota 24 (p)'!$F$8+'[2]nota 28'!$F$15</f>
        <v>127200</v>
      </c>
      <c r="G8" s="109">
        <v>0.19</v>
      </c>
      <c r="H8" s="110">
        <f t="shared" ref="H8:H21" si="0">ROUND(F8*G8,0)</f>
        <v>24168</v>
      </c>
    </row>
    <row r="9" spans="1:8" x14ac:dyDescent="0.25">
      <c r="A9" s="106" t="s">
        <v>28</v>
      </c>
      <c r="B9" s="107" t="s">
        <v>137</v>
      </c>
      <c r="C9" s="108">
        <f>'[4]nota 24 (p)'!$C$9</f>
        <v>0</v>
      </c>
      <c r="D9" s="109">
        <v>0.19</v>
      </c>
      <c r="E9" s="107">
        <f>ROUND(C9*D9,0)</f>
        <v>0</v>
      </c>
      <c r="F9" s="107">
        <f>'[4]nota 24 (p)'!$F$9</f>
        <v>0</v>
      </c>
      <c r="G9" s="109">
        <v>0.19</v>
      </c>
      <c r="H9" s="110">
        <f t="shared" si="0"/>
        <v>0</v>
      </c>
    </row>
    <row r="10" spans="1:8" x14ac:dyDescent="0.25">
      <c r="A10" s="106" t="s">
        <v>29</v>
      </c>
      <c r="B10" s="107" t="s">
        <v>138</v>
      </c>
      <c r="C10" s="108">
        <f>'[4]nota 24 (p)'!$C$10</f>
        <v>2400000</v>
      </c>
      <c r="D10" s="109">
        <v>0.19</v>
      </c>
      <c r="E10" s="107">
        <f t="shared" ref="E10:E21" si="1">ROUND(C10*D10,0)</f>
        <v>456000</v>
      </c>
      <c r="F10" s="107">
        <f>'[4]nota 24 (p)'!$F$10</f>
        <v>2400000</v>
      </c>
      <c r="G10" s="109">
        <v>0.19</v>
      </c>
      <c r="H10" s="110">
        <f t="shared" si="0"/>
        <v>456000</v>
      </c>
    </row>
    <row r="11" spans="1:8" x14ac:dyDescent="0.25">
      <c r="A11" s="106" t="s">
        <v>139</v>
      </c>
      <c r="B11" s="107" t="s">
        <v>140</v>
      </c>
      <c r="C11" s="108">
        <f>'[4]nota 24 (p)'!$C$11+'[2]nota 28'!$C$20</f>
        <v>7170846.1600000001</v>
      </c>
      <c r="D11" s="109">
        <v>0.19</v>
      </c>
      <c r="E11" s="107">
        <f>ROUND(C11*D11,0)</f>
        <v>1362461</v>
      </c>
      <c r="F11" s="107">
        <f>'[4]nota 24 (p)'!$F$11+'[2]nota 28'!$F$20</f>
        <v>10790633.529999999</v>
      </c>
      <c r="G11" s="109">
        <v>0.19</v>
      </c>
      <c r="H11" s="110">
        <f t="shared" si="0"/>
        <v>2050220</v>
      </c>
    </row>
    <row r="12" spans="1:8" x14ac:dyDescent="0.25">
      <c r="A12" s="106" t="s">
        <v>141</v>
      </c>
      <c r="B12" s="107" t="s">
        <v>142</v>
      </c>
      <c r="C12" s="108">
        <f>'[4]nota 24 (p)'!$C$12</f>
        <v>693286.39</v>
      </c>
      <c r="D12" s="109">
        <v>0.19</v>
      </c>
      <c r="E12" s="107">
        <f>ROUND(C12*D12,0)</f>
        <v>131724</v>
      </c>
      <c r="F12" s="107">
        <f>'[4]nota 24 (p)'!$F$12+'[2]nota 28'!$F$13</f>
        <v>750470.9</v>
      </c>
      <c r="G12" s="109">
        <v>0.19</v>
      </c>
      <c r="H12" s="110">
        <f t="shared" si="0"/>
        <v>142589</v>
      </c>
    </row>
    <row r="13" spans="1:8" x14ac:dyDescent="0.25">
      <c r="A13" s="106" t="s">
        <v>143</v>
      </c>
      <c r="B13" s="107" t="s">
        <v>102</v>
      </c>
      <c r="C13" s="108">
        <f>'[4]nota 24 (p)'!$C$16+'[2]nota 28'!$C$12</f>
        <v>6510287.4000000004</v>
      </c>
      <c r="D13" s="109">
        <v>0.19</v>
      </c>
      <c r="E13" s="107">
        <f>ROUND(C13*D13,0)</f>
        <v>1236955</v>
      </c>
      <c r="F13" s="108">
        <f>'[4]nota 24 (p)'!$F$16+'[2]nota 28'!$F$12</f>
        <v>5863177.6600000001</v>
      </c>
      <c r="G13" s="109">
        <v>0.19</v>
      </c>
      <c r="H13" s="110">
        <f t="shared" si="0"/>
        <v>1114004</v>
      </c>
    </row>
    <row r="14" spans="1:8" x14ac:dyDescent="0.25">
      <c r="A14" s="106" t="s">
        <v>144</v>
      </c>
      <c r="B14" s="107" t="s">
        <v>101</v>
      </c>
      <c r="C14" s="108">
        <f>'[4]nota 24 (p)'!$C$17+'[2]nota 28'!$C$13</f>
        <v>867294.98</v>
      </c>
      <c r="D14" s="109">
        <v>0.19</v>
      </c>
      <c r="E14" s="107">
        <f t="shared" si="1"/>
        <v>164786</v>
      </c>
      <c r="F14" s="107">
        <f>'[4]nota 24 (p)'!$F$17</f>
        <v>268343.42</v>
      </c>
      <c r="G14" s="109">
        <v>0.19</v>
      </c>
      <c r="H14" s="110">
        <f t="shared" si="0"/>
        <v>50985</v>
      </c>
    </row>
    <row r="15" spans="1:8" x14ac:dyDescent="0.25">
      <c r="A15" s="106" t="s">
        <v>145</v>
      </c>
      <c r="B15" s="107" t="s">
        <v>146</v>
      </c>
      <c r="C15" s="108">
        <f>'[2]nota 28'!$C$18</f>
        <v>40407.31</v>
      </c>
      <c r="D15" s="109">
        <v>0.19</v>
      </c>
      <c r="E15" s="107">
        <f t="shared" si="1"/>
        <v>7677</v>
      </c>
      <c r="F15" s="107">
        <f>'[2]nota 28'!$F$18</f>
        <v>40407.31</v>
      </c>
      <c r="G15" s="109">
        <v>0.19</v>
      </c>
      <c r="H15" s="110">
        <f t="shared" si="0"/>
        <v>7677</v>
      </c>
    </row>
    <row r="16" spans="1:8" x14ac:dyDescent="0.25">
      <c r="A16" s="106" t="s">
        <v>147</v>
      </c>
      <c r="B16" s="107" t="s">
        <v>148</v>
      </c>
      <c r="C16" s="108">
        <f>'[4]nota 24 (p)'!$C$14+'[2]nota 28'!$C$16+'[2]nota 28'!$C$17</f>
        <v>6811158.25</v>
      </c>
      <c r="D16" s="109">
        <v>0.19</v>
      </c>
      <c r="E16" s="107">
        <f t="shared" si="1"/>
        <v>1294120</v>
      </c>
      <c r="F16" s="107">
        <f>'[4]nota 24 (p)'!$F$14+'[2]nota 28'!$F$16+'[2]nota 28'!$F$17</f>
        <v>4387004.1800000006</v>
      </c>
      <c r="G16" s="109">
        <v>0.19</v>
      </c>
      <c r="H16" s="110">
        <f t="shared" si="0"/>
        <v>833531</v>
      </c>
    </row>
    <row r="17" spans="1:8" x14ac:dyDescent="0.25">
      <c r="A17" s="106" t="s">
        <v>149</v>
      </c>
      <c r="B17" s="107" t="s">
        <v>150</v>
      </c>
      <c r="C17" s="108">
        <f>'[4]nota 24 (p)'!$C$29</f>
        <v>35010583.75</v>
      </c>
      <c r="D17" s="109">
        <v>0.19</v>
      </c>
      <c r="E17" s="107">
        <f t="shared" si="1"/>
        <v>6652011</v>
      </c>
      <c r="F17" s="107">
        <f>'[4]nota 24 (p)'!$F$29</f>
        <v>24487304.239999998</v>
      </c>
      <c r="G17" s="109">
        <v>0.19</v>
      </c>
      <c r="H17" s="110">
        <f t="shared" si="0"/>
        <v>4652588</v>
      </c>
    </row>
    <row r="18" spans="1:8" x14ac:dyDescent="0.25">
      <c r="A18" s="106" t="s">
        <v>151</v>
      </c>
      <c r="B18" s="107" t="s">
        <v>152</v>
      </c>
      <c r="C18" s="108">
        <f>'[4]nota 24 (p)'!$C$30+'[2]nota 28'!$C$19+1869855.47</f>
        <v>66708036.519999996</v>
      </c>
      <c r="D18" s="109">
        <v>0.19</v>
      </c>
      <c r="E18" s="107">
        <f t="shared" si="1"/>
        <v>12674527</v>
      </c>
      <c r="F18" s="107">
        <f>'[4]nota 24 (p)'!$F$30+'[2]nota 28'!$F$19+1767663.58</f>
        <v>87710407.629999995</v>
      </c>
      <c r="G18" s="109">
        <v>0.19</v>
      </c>
      <c r="H18" s="110">
        <f>ROUND(F18*G18,0)+3.08</f>
        <v>16664980.08</v>
      </c>
    </row>
    <row r="19" spans="1:8" x14ac:dyDescent="0.25">
      <c r="A19" s="106" t="s">
        <v>153</v>
      </c>
      <c r="B19" s="107" t="s">
        <v>154</v>
      </c>
      <c r="C19" s="108">
        <f>'[4]nota 24 (p)'!$C$25+'[4]nota 24 (p)'!$C$26</f>
        <v>2801431.92</v>
      </c>
      <c r="D19" s="109">
        <v>0.19</v>
      </c>
      <c r="E19" s="107">
        <f t="shared" si="1"/>
        <v>532272</v>
      </c>
      <c r="F19" s="107">
        <f>'[4]nota 24 (p)'!$F$25+'[4]nota 24 (p)'!$F$26</f>
        <v>137905.94999999998</v>
      </c>
      <c r="G19" s="109">
        <v>0.19</v>
      </c>
      <c r="H19" s="110">
        <f t="shared" si="0"/>
        <v>26202</v>
      </c>
    </row>
    <row r="20" spans="1:8" x14ac:dyDescent="0.25">
      <c r="A20" s="106" t="s">
        <v>155</v>
      </c>
      <c r="B20" s="107" t="s">
        <v>156</v>
      </c>
      <c r="C20" s="108">
        <f>'[4]nota 24 (p)'!$C$31</f>
        <v>3980408.59</v>
      </c>
      <c r="D20" s="109">
        <v>0.19</v>
      </c>
      <c r="E20" s="107">
        <f t="shared" si="1"/>
        <v>756278</v>
      </c>
      <c r="F20" s="107">
        <v>0</v>
      </c>
      <c r="G20" s="109">
        <v>0.19</v>
      </c>
      <c r="H20" s="110">
        <f t="shared" si="0"/>
        <v>0</v>
      </c>
    </row>
    <row r="21" spans="1:8" x14ac:dyDescent="0.25">
      <c r="A21" s="111" t="s">
        <v>157</v>
      </c>
      <c r="B21" s="107" t="s">
        <v>158</v>
      </c>
      <c r="C21" s="108">
        <v>6122242.5300000003</v>
      </c>
      <c r="D21" s="109">
        <v>0.19</v>
      </c>
      <c r="E21" s="107">
        <f t="shared" si="1"/>
        <v>1163226</v>
      </c>
      <c r="F21" s="107">
        <v>4354578.95</v>
      </c>
      <c r="G21" s="109">
        <v>0.19</v>
      </c>
      <c r="H21" s="110">
        <f t="shared" si="0"/>
        <v>827370</v>
      </c>
    </row>
    <row r="22" spans="1:8" x14ac:dyDescent="0.25">
      <c r="A22" s="102">
        <v>2</v>
      </c>
      <c r="B22" s="103" t="s">
        <v>159</v>
      </c>
      <c r="C22" s="103">
        <v>0</v>
      </c>
      <c r="D22" s="109"/>
      <c r="E22" s="103">
        <v>0</v>
      </c>
      <c r="F22" s="103">
        <v>0</v>
      </c>
      <c r="G22" s="104"/>
      <c r="H22" s="105">
        <v>0</v>
      </c>
    </row>
    <row r="23" spans="1:8" x14ac:dyDescent="0.25">
      <c r="A23" s="112" t="s">
        <v>22</v>
      </c>
      <c r="B23" s="113"/>
      <c r="C23" s="114">
        <f>C6+C22</f>
        <v>142563261.91999999</v>
      </c>
      <c r="D23" s="115" t="s">
        <v>160</v>
      </c>
      <c r="E23" s="114">
        <f>E6+E22</f>
        <v>27087019.620000001</v>
      </c>
      <c r="F23" s="114">
        <f>F6+F22</f>
        <v>143930752.92999998</v>
      </c>
      <c r="G23" s="115" t="s">
        <v>160</v>
      </c>
      <c r="H23" s="116">
        <f>H6+H22</f>
        <v>27346845.079999998</v>
      </c>
    </row>
    <row r="24" spans="1:8" x14ac:dyDescent="0.25">
      <c r="A24" s="117" t="s">
        <v>161</v>
      </c>
      <c r="B24" s="118"/>
      <c r="C24" s="119">
        <v>0</v>
      </c>
      <c r="D24" s="119"/>
      <c r="E24" s="119"/>
      <c r="F24" s="119">
        <v>0</v>
      </c>
      <c r="G24" s="119"/>
      <c r="H24" s="120"/>
    </row>
    <row r="25" spans="1:8" ht="15.75" thickBot="1" x14ac:dyDescent="0.3">
      <c r="A25" s="121" t="s">
        <v>162</v>
      </c>
      <c r="B25" s="122"/>
      <c r="C25" s="123">
        <f>E23-C24</f>
        <v>27087019.620000001</v>
      </c>
      <c r="D25" s="123"/>
      <c r="E25" s="123"/>
      <c r="F25" s="123">
        <f>H23-F24</f>
        <v>27346845.079999998</v>
      </c>
      <c r="G25" s="123"/>
      <c r="H25" s="124"/>
    </row>
    <row r="26" spans="1:8" ht="15.75" thickTop="1" x14ac:dyDescent="0.25"/>
    <row r="27" spans="1:8" ht="15.75" x14ac:dyDescent="0.25">
      <c r="A27" s="128" t="s">
        <v>163</v>
      </c>
      <c r="B27" s="128"/>
      <c r="C27" s="128"/>
      <c r="D27" s="128"/>
      <c r="E27" s="128"/>
    </row>
    <row r="28" spans="1:8" ht="15.75" thickBot="1" x14ac:dyDescent="0.3"/>
    <row r="29" spans="1:8" ht="26.25" thickTop="1" x14ac:dyDescent="0.25">
      <c r="A29" s="129" t="s">
        <v>2</v>
      </c>
      <c r="B29" s="130" t="s">
        <v>25</v>
      </c>
      <c r="C29" s="131" t="s">
        <v>164</v>
      </c>
      <c r="D29" s="132" t="s">
        <v>165</v>
      </c>
      <c r="E29" s="133"/>
      <c r="F29" s="133"/>
      <c r="G29" s="133"/>
      <c r="H29" s="133"/>
    </row>
    <row r="30" spans="1:8" x14ac:dyDescent="0.25">
      <c r="A30" s="134" t="s">
        <v>10</v>
      </c>
      <c r="B30" s="135" t="s">
        <v>166</v>
      </c>
      <c r="C30" s="136">
        <f>F25</f>
        <v>27346845.079999998</v>
      </c>
      <c r="D30" s="137"/>
    </row>
    <row r="31" spans="1:8" x14ac:dyDescent="0.25">
      <c r="A31" s="134" t="s">
        <v>12</v>
      </c>
      <c r="B31" s="135" t="s">
        <v>167</v>
      </c>
      <c r="C31" s="136">
        <f>C32</f>
        <v>4438276.62</v>
      </c>
      <c r="D31" s="137">
        <f>D32</f>
        <v>0</v>
      </c>
      <c r="F31" s="138"/>
      <c r="G31" s="138"/>
      <c r="H31" s="138"/>
    </row>
    <row r="32" spans="1:8" x14ac:dyDescent="0.25">
      <c r="A32" s="139" t="s">
        <v>26</v>
      </c>
      <c r="B32" s="140" t="s">
        <v>168</v>
      </c>
      <c r="C32" s="141">
        <f>SUM(C33:C33)</f>
        <v>4438276.62</v>
      </c>
      <c r="D32" s="142">
        <f>SUM(D33:D33)</f>
        <v>0</v>
      </c>
      <c r="F32" s="138"/>
      <c r="G32" s="138"/>
      <c r="H32" s="138"/>
    </row>
    <row r="33" spans="1:8" x14ac:dyDescent="0.25">
      <c r="A33" s="139" t="s">
        <v>75</v>
      </c>
      <c r="B33" s="140" t="s">
        <v>169</v>
      </c>
      <c r="C33" s="141">
        <v>4438276.62</v>
      </c>
      <c r="D33" s="142">
        <v>0</v>
      </c>
      <c r="F33" s="143"/>
      <c r="G33" s="143"/>
      <c r="H33" s="143"/>
    </row>
    <row r="34" spans="1:8" x14ac:dyDescent="0.25">
      <c r="A34" s="134" t="s">
        <v>14</v>
      </c>
      <c r="B34" s="135" t="s">
        <v>170</v>
      </c>
      <c r="C34" s="136">
        <f>C35-C37</f>
        <v>4698102.08</v>
      </c>
      <c r="D34" s="137">
        <f>D35+D37</f>
        <v>0</v>
      </c>
      <c r="F34" s="143"/>
      <c r="G34" s="143"/>
      <c r="H34" s="143"/>
    </row>
    <row r="35" spans="1:8" x14ac:dyDescent="0.25">
      <c r="A35" s="144" t="s">
        <v>26</v>
      </c>
      <c r="B35" s="145" t="s">
        <v>168</v>
      </c>
      <c r="C35" s="146">
        <f>SUM(C36:C36)</f>
        <v>4698102.08</v>
      </c>
      <c r="D35" s="76">
        <f>SUM(D36:D36)</f>
        <v>0</v>
      </c>
      <c r="E35" s="147"/>
      <c r="F35" s="143"/>
      <c r="G35" s="143"/>
      <c r="H35" s="143"/>
    </row>
    <row r="36" spans="1:8" x14ac:dyDescent="0.25">
      <c r="A36" s="139" t="s">
        <v>75</v>
      </c>
      <c r="B36" s="140" t="s">
        <v>171</v>
      </c>
      <c r="C36" s="141">
        <v>4698102.08</v>
      </c>
      <c r="D36" s="142">
        <v>0</v>
      </c>
      <c r="F36" s="143"/>
      <c r="G36" s="143"/>
      <c r="H36" s="143"/>
    </row>
    <row r="37" spans="1:8" x14ac:dyDescent="0.25">
      <c r="A37" s="144" t="s">
        <v>27</v>
      </c>
      <c r="B37" s="145" t="s">
        <v>172</v>
      </c>
      <c r="C37" s="146">
        <f>SUM(C38:C38)</f>
        <v>0</v>
      </c>
      <c r="D37" s="76">
        <f>SUM(D38:D38)</f>
        <v>0</v>
      </c>
      <c r="E37" s="147"/>
      <c r="F37" s="143"/>
      <c r="G37" s="143"/>
      <c r="H37" s="143"/>
    </row>
    <row r="38" spans="1:8" x14ac:dyDescent="0.25">
      <c r="A38" s="139" t="s">
        <v>75</v>
      </c>
      <c r="B38" s="140" t="s">
        <v>171</v>
      </c>
      <c r="C38" s="141">
        <v>0</v>
      </c>
      <c r="D38" s="142">
        <v>0</v>
      </c>
      <c r="F38" s="143"/>
      <c r="G38" s="143"/>
      <c r="H38" s="143"/>
    </row>
    <row r="39" spans="1:8" ht="15.75" thickBot="1" x14ac:dyDescent="0.3">
      <c r="A39" s="148" t="s">
        <v>16</v>
      </c>
      <c r="B39" s="149" t="s">
        <v>173</v>
      </c>
      <c r="C39" s="150">
        <f>+C30+C31-C34</f>
        <v>27087019.619999997</v>
      </c>
      <c r="D39" s="151">
        <f>+D30+D31-D34</f>
        <v>0</v>
      </c>
      <c r="F39" s="143"/>
      <c r="G39" s="143"/>
      <c r="H39" s="143"/>
    </row>
    <row r="40" spans="1:8" ht="15.75" thickTop="1" x14ac:dyDescent="0.25">
      <c r="A40" s="152"/>
      <c r="B40" s="135"/>
      <c r="C40" s="136"/>
      <c r="D40" s="136"/>
      <c r="E40" s="153"/>
      <c r="F40" s="154"/>
      <c r="G40" s="154"/>
      <c r="H40" s="154"/>
    </row>
    <row r="41" spans="1:8" x14ac:dyDescent="0.25">
      <c r="A41" s="152"/>
      <c r="B41" s="135"/>
      <c r="C41" s="136"/>
      <c r="D41" s="136"/>
      <c r="E41" s="153"/>
      <c r="F41" s="154"/>
      <c r="G41" s="154"/>
      <c r="H41" s="154"/>
    </row>
    <row r="42" spans="1:8" ht="15.75" x14ac:dyDescent="0.25">
      <c r="A42" s="155" t="s">
        <v>174</v>
      </c>
      <c r="B42" s="155"/>
      <c r="C42" s="155"/>
      <c r="D42" s="155"/>
      <c r="E42" s="155"/>
      <c r="F42" s="155"/>
      <c r="G42" s="156"/>
      <c r="H42" s="156"/>
    </row>
    <row r="43" spans="1:8" ht="16.5" thickBot="1" x14ac:dyDescent="0.3">
      <c r="A43" s="157"/>
      <c r="B43" s="157"/>
      <c r="C43" s="157"/>
      <c r="D43" s="157"/>
      <c r="E43" s="157"/>
      <c r="F43" s="157"/>
      <c r="G43" s="156"/>
      <c r="H43" s="156"/>
    </row>
    <row r="44" spans="1:8" ht="15.75" thickTop="1" x14ac:dyDescent="0.25">
      <c r="A44" s="94" t="s">
        <v>2</v>
      </c>
      <c r="B44" s="95" t="s">
        <v>175</v>
      </c>
      <c r="C44" s="158" t="s">
        <v>128</v>
      </c>
      <c r="D44" s="158"/>
      <c r="E44" s="95" t="s">
        <v>176</v>
      </c>
      <c r="F44" s="158" t="s">
        <v>128</v>
      </c>
      <c r="G44" s="159"/>
      <c r="H44" s="97" t="s">
        <v>177</v>
      </c>
    </row>
    <row r="45" spans="1:8" x14ac:dyDescent="0.25">
      <c r="A45" s="98"/>
      <c r="B45" s="99"/>
      <c r="C45" s="100" t="s">
        <v>131</v>
      </c>
      <c r="D45" s="100" t="s">
        <v>132</v>
      </c>
      <c r="E45" s="99"/>
      <c r="F45" s="100" t="s">
        <v>133</v>
      </c>
      <c r="G45" s="100" t="s">
        <v>178</v>
      </c>
      <c r="H45" s="101"/>
    </row>
    <row r="46" spans="1:8" x14ac:dyDescent="0.25">
      <c r="A46" s="102">
        <v>1</v>
      </c>
      <c r="B46" s="160" t="s">
        <v>179</v>
      </c>
      <c r="C46" s="103">
        <f>SUM(C48:C52)</f>
        <v>1771307.81</v>
      </c>
      <c r="D46" s="104"/>
      <c r="E46" s="161">
        <f>SUM(E48:E52)</f>
        <v>336550</v>
      </c>
      <c r="F46" s="103">
        <f>SUM(F47:F51)</f>
        <v>170965.78</v>
      </c>
      <c r="G46" s="104"/>
      <c r="H46" s="162">
        <f>SUM(H47:H52)</f>
        <v>38853</v>
      </c>
    </row>
    <row r="47" spans="1:8" x14ac:dyDescent="0.25">
      <c r="A47" s="106" t="s">
        <v>26</v>
      </c>
      <c r="B47" s="107" t="s">
        <v>180</v>
      </c>
      <c r="C47" s="107"/>
      <c r="D47" s="109">
        <v>0.19</v>
      </c>
      <c r="E47" s="107">
        <f>ROUND(C47*D47,0)</f>
        <v>0</v>
      </c>
      <c r="F47" s="107">
        <f>'[4]nota 24 (p)'!$F$78</f>
        <v>4773</v>
      </c>
      <c r="G47" s="109">
        <v>0.19</v>
      </c>
      <c r="H47" s="110">
        <f t="shared" ref="H47:H52" si="2">ROUND(F47*G47,0)</f>
        <v>907</v>
      </c>
    </row>
    <row r="48" spans="1:8" x14ac:dyDescent="0.25">
      <c r="A48" s="106" t="s">
        <v>27</v>
      </c>
      <c r="B48" s="163" t="s">
        <v>181</v>
      </c>
      <c r="C48" s="107">
        <f>'[4]nota 24 (p)'!$C$72</f>
        <v>6238.35</v>
      </c>
      <c r="D48" s="109">
        <v>0.19</v>
      </c>
      <c r="E48" s="107">
        <f>'[4]nota 24 (p)'!$E$72</f>
        <v>1185</v>
      </c>
      <c r="F48" s="107">
        <f>'[4]nota 24 (p)'!$F$72</f>
        <v>22301.360000000001</v>
      </c>
      <c r="G48" s="109">
        <v>0.19</v>
      </c>
      <c r="H48" s="110">
        <f t="shared" si="2"/>
        <v>4237</v>
      </c>
    </row>
    <row r="49" spans="1:8" x14ac:dyDescent="0.25">
      <c r="A49" s="106" t="s">
        <v>28</v>
      </c>
      <c r="B49" s="163" t="s">
        <v>182</v>
      </c>
      <c r="C49" s="107">
        <f>'[4]nota 24 (p)'!$C$76</f>
        <v>666929.48</v>
      </c>
      <c r="D49" s="109">
        <v>0.19</v>
      </c>
      <c r="E49" s="107">
        <f>'[4]nota 24 (p)'!$E$76</f>
        <v>126717</v>
      </c>
      <c r="F49" s="107">
        <f>'[4]nota 24 (p)'!$F$76</f>
        <v>55528.79</v>
      </c>
      <c r="G49" s="109">
        <v>0.19</v>
      </c>
      <c r="H49" s="110">
        <f t="shared" si="2"/>
        <v>10550</v>
      </c>
    </row>
    <row r="50" spans="1:8" x14ac:dyDescent="0.25">
      <c r="A50" s="106" t="s">
        <v>29</v>
      </c>
      <c r="B50" s="163" t="s">
        <v>183</v>
      </c>
      <c r="C50" s="107">
        <f>'[4]nota 24 (p)'!$C$77</f>
        <v>33718.980000000003</v>
      </c>
      <c r="D50" s="109">
        <v>0.19</v>
      </c>
      <c r="E50" s="107">
        <f>'[4]nota 24 (p)'!$E$77</f>
        <v>6407</v>
      </c>
      <c r="F50" s="107">
        <f>'[4]nota 24 (p)'!$F$77</f>
        <v>88362.63</v>
      </c>
      <c r="G50" s="109">
        <v>0.19</v>
      </c>
      <c r="H50" s="110">
        <f t="shared" si="2"/>
        <v>16789</v>
      </c>
    </row>
    <row r="51" spans="1:8" x14ac:dyDescent="0.25">
      <c r="A51" s="106" t="s">
        <v>139</v>
      </c>
      <c r="B51" s="163" t="s">
        <v>184</v>
      </c>
      <c r="C51" s="107">
        <f>'[4]nota 24 (p)'!$C$79</f>
        <v>1030897</v>
      </c>
      <c r="D51" s="109">
        <v>0.19</v>
      </c>
      <c r="E51" s="107">
        <f>'[4]nota 24 (p)'!$E$79</f>
        <v>195871</v>
      </c>
      <c r="F51" s="107">
        <v>0</v>
      </c>
      <c r="G51" s="109">
        <v>0.19</v>
      </c>
      <c r="H51" s="110">
        <f t="shared" si="2"/>
        <v>0</v>
      </c>
    </row>
    <row r="52" spans="1:8" x14ac:dyDescent="0.25">
      <c r="A52" s="106" t="s">
        <v>141</v>
      </c>
      <c r="B52" s="163" t="s">
        <v>185</v>
      </c>
      <c r="C52" s="107">
        <f>'[2]nota 28'!$C$53</f>
        <v>33524</v>
      </c>
      <c r="D52" s="109">
        <v>0.19</v>
      </c>
      <c r="E52" s="107">
        <f>C52*D52+0.44</f>
        <v>6370</v>
      </c>
      <c r="F52" s="107">
        <v>33524</v>
      </c>
      <c r="G52" s="109">
        <v>0.19</v>
      </c>
      <c r="H52" s="110">
        <f t="shared" si="2"/>
        <v>6370</v>
      </c>
    </row>
    <row r="53" spans="1:8" x14ac:dyDescent="0.25">
      <c r="A53" s="102">
        <v>2</v>
      </c>
      <c r="B53" s="103" t="s">
        <v>159</v>
      </c>
      <c r="C53" s="103">
        <v>0</v>
      </c>
      <c r="D53" s="104"/>
      <c r="E53" s="103">
        <v>0</v>
      </c>
      <c r="F53" s="103">
        <v>0</v>
      </c>
      <c r="G53" s="104"/>
      <c r="H53" s="105">
        <v>0</v>
      </c>
    </row>
    <row r="54" spans="1:8" ht="15.75" thickBot="1" x14ac:dyDescent="0.3">
      <c r="A54" s="164" t="s">
        <v>22</v>
      </c>
      <c r="B54" s="165"/>
      <c r="C54" s="166">
        <f>C46</f>
        <v>1771307.81</v>
      </c>
      <c r="D54" s="166" t="s">
        <v>160</v>
      </c>
      <c r="E54" s="167">
        <f>E46</f>
        <v>336550</v>
      </c>
      <c r="F54" s="166">
        <f>F46</f>
        <v>170965.78</v>
      </c>
      <c r="G54" s="166" t="s">
        <v>160</v>
      </c>
      <c r="H54" s="168">
        <f>H46+H53</f>
        <v>38853</v>
      </c>
    </row>
    <row r="55" spans="1:8" ht="15.75" thickTop="1" x14ac:dyDescent="0.25"/>
    <row r="56" spans="1:8" ht="15.75" x14ac:dyDescent="0.25">
      <c r="A56" s="169" t="s">
        <v>186</v>
      </c>
      <c r="B56" s="169"/>
      <c r="C56" s="169"/>
      <c r="D56" s="169"/>
      <c r="E56" s="169"/>
      <c r="F56" s="169"/>
      <c r="G56" s="156"/>
      <c r="H56" s="156"/>
    </row>
    <row r="57" spans="1:8" ht="16.5" thickBot="1" x14ac:dyDescent="0.3">
      <c r="A57" s="170"/>
      <c r="B57" s="170"/>
      <c r="C57" s="170"/>
      <c r="D57" s="170"/>
      <c r="E57" s="170"/>
      <c r="F57" s="156"/>
      <c r="G57" s="156"/>
      <c r="H57" s="156"/>
    </row>
    <row r="58" spans="1:8" ht="15.75" thickTop="1" x14ac:dyDescent="0.25">
      <c r="A58" s="129" t="s">
        <v>2</v>
      </c>
      <c r="B58" s="171" t="s">
        <v>25</v>
      </c>
      <c r="C58" s="172" t="s">
        <v>164</v>
      </c>
      <c r="D58" s="173"/>
      <c r="E58" s="173"/>
      <c r="F58" s="173"/>
      <c r="G58" s="173"/>
      <c r="H58" s="173"/>
    </row>
    <row r="59" spans="1:8" x14ac:dyDescent="0.25">
      <c r="A59" s="134" t="s">
        <v>10</v>
      </c>
      <c r="B59" s="135" t="s">
        <v>166</v>
      </c>
      <c r="C59" s="137">
        <f>'[4]nota 24 (p)'!$C$90+6370</f>
        <v>38853</v>
      </c>
      <c r="D59" s="174"/>
      <c r="E59" s="174"/>
      <c r="F59" s="174"/>
      <c r="G59" s="174"/>
      <c r="H59" s="174"/>
    </row>
    <row r="60" spans="1:8" x14ac:dyDescent="0.25">
      <c r="A60" s="134" t="s">
        <v>12</v>
      </c>
      <c r="B60" s="135" t="s">
        <v>167</v>
      </c>
      <c r="C60" s="137">
        <f>C61</f>
        <v>312038</v>
      </c>
      <c r="D60" s="174"/>
      <c r="E60" s="174"/>
      <c r="F60" s="174"/>
      <c r="G60" s="174"/>
      <c r="H60" s="174"/>
    </row>
    <row r="61" spans="1:8" x14ac:dyDescent="0.25">
      <c r="A61" s="139" t="s">
        <v>75</v>
      </c>
      <c r="B61" s="140" t="s">
        <v>187</v>
      </c>
      <c r="C61" s="142">
        <v>312038</v>
      </c>
      <c r="D61" s="174"/>
      <c r="E61" s="174"/>
      <c r="F61" s="174"/>
      <c r="G61" s="174"/>
      <c r="H61" s="174"/>
    </row>
    <row r="62" spans="1:8" x14ac:dyDescent="0.25">
      <c r="A62" s="134" t="s">
        <v>14</v>
      </c>
      <c r="B62" s="135" t="s">
        <v>170</v>
      </c>
      <c r="C62" s="137">
        <f>C63</f>
        <v>14341</v>
      </c>
      <c r="D62" s="156"/>
      <c r="E62" s="156"/>
      <c r="F62" s="156"/>
      <c r="G62" s="156"/>
      <c r="H62" s="156"/>
    </row>
    <row r="63" spans="1:8" x14ac:dyDescent="0.25">
      <c r="A63" s="139" t="s">
        <v>75</v>
      </c>
      <c r="B63" s="140" t="s">
        <v>188</v>
      </c>
      <c r="C63" s="142">
        <f>'[4]nota 24 (p)'!$C$100</f>
        <v>14341</v>
      </c>
      <c r="D63" s="156"/>
      <c r="E63" s="156"/>
      <c r="F63" s="156"/>
      <c r="G63" s="156"/>
      <c r="H63" s="156"/>
    </row>
    <row r="64" spans="1:8" x14ac:dyDescent="0.25">
      <c r="A64" s="139" t="s">
        <v>75</v>
      </c>
      <c r="B64" s="140" t="s">
        <v>189</v>
      </c>
      <c r="C64" s="142"/>
      <c r="D64" s="156"/>
      <c r="E64" s="156"/>
      <c r="F64" s="156"/>
      <c r="G64" s="156"/>
      <c r="H64" s="156"/>
    </row>
    <row r="65" spans="1:3" ht="15.75" thickBot="1" x14ac:dyDescent="0.3">
      <c r="A65" s="148" t="s">
        <v>16</v>
      </c>
      <c r="B65" s="149" t="s">
        <v>173</v>
      </c>
      <c r="C65" s="151">
        <f>+C59+C60-C62</f>
        <v>336550</v>
      </c>
    </row>
    <row r="66" spans="1:3" ht="15.75" thickTop="1" x14ac:dyDescent="0.25"/>
  </sheetData>
  <mergeCells count="24">
    <mergeCell ref="A54:B54"/>
    <mergeCell ref="A56:F56"/>
    <mergeCell ref="A27:E27"/>
    <mergeCell ref="F31:H32"/>
    <mergeCell ref="F33:H39"/>
    <mergeCell ref="A42:F42"/>
    <mergeCell ref="A44:A45"/>
    <mergeCell ref="B44:B45"/>
    <mergeCell ref="E44:E45"/>
    <mergeCell ref="H44:H45"/>
    <mergeCell ref="H4:H5"/>
    <mergeCell ref="A23:B23"/>
    <mergeCell ref="A24:B24"/>
    <mergeCell ref="C24:E24"/>
    <mergeCell ref="F24:H24"/>
    <mergeCell ref="A25:B25"/>
    <mergeCell ref="C25:E25"/>
    <mergeCell ref="F25:H25"/>
    <mergeCell ref="A2:E2"/>
    <mergeCell ref="A4:A5"/>
    <mergeCell ref="B4:B5"/>
    <mergeCell ref="C4:D4"/>
    <mergeCell ref="E4:E5"/>
    <mergeCell ref="F4:G4"/>
  </mergeCells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Normal="100" zoomScaleSheetLayoutView="100" workbookViewId="0">
      <selection activeCell="B45" sqref="B45"/>
    </sheetView>
  </sheetViews>
  <sheetFormatPr defaultRowHeight="15" x14ac:dyDescent="0.25"/>
  <cols>
    <col min="1" max="1" width="3.28515625" style="55" customWidth="1"/>
    <col min="2" max="2" width="32.140625" style="55" customWidth="1"/>
    <col min="3" max="3" width="17" style="55" customWidth="1"/>
    <col min="4" max="4" width="21" style="55" customWidth="1"/>
    <col min="5" max="5" width="18.5703125" style="55" customWidth="1"/>
  </cols>
  <sheetData>
    <row r="1" spans="1:5" ht="15.75" x14ac:dyDescent="0.25">
      <c r="A1" s="54" t="s">
        <v>190</v>
      </c>
    </row>
    <row r="2" spans="1:5" ht="15.75" x14ac:dyDescent="0.25">
      <c r="A2" s="175" t="s">
        <v>191</v>
      </c>
      <c r="B2" s="175"/>
      <c r="C2" s="175"/>
      <c r="D2" s="175"/>
      <c r="E2" s="175"/>
    </row>
    <row r="3" spans="1:5" ht="3" customHeight="1" x14ac:dyDescent="0.25">
      <c r="A3" s="176"/>
      <c r="B3" s="176"/>
      <c r="C3" s="177"/>
      <c r="D3" s="177"/>
    </row>
    <row r="4" spans="1:5" x14ac:dyDescent="0.25">
      <c r="A4" s="178" t="s">
        <v>192</v>
      </c>
      <c r="B4" s="178"/>
      <c r="C4" s="177"/>
      <c r="D4" s="177"/>
    </row>
    <row r="5" spans="1:5" x14ac:dyDescent="0.25">
      <c r="A5" s="179"/>
      <c r="B5" s="179"/>
      <c r="C5" s="179"/>
      <c r="D5" s="179"/>
    </row>
    <row r="6" spans="1:5" ht="15.75" x14ac:dyDescent="0.25">
      <c r="A6" s="54" t="s">
        <v>193</v>
      </c>
    </row>
    <row r="7" spans="1:5" ht="15.75" x14ac:dyDescent="0.25">
      <c r="A7" s="175" t="s">
        <v>194</v>
      </c>
      <c r="B7" s="175"/>
      <c r="C7" s="175"/>
      <c r="D7" s="175"/>
      <c r="E7" s="175"/>
    </row>
    <row r="8" spans="1:5" x14ac:dyDescent="0.25">
      <c r="A8" s="180" t="s">
        <v>251</v>
      </c>
      <c r="B8" s="180"/>
      <c r="C8" s="180"/>
      <c r="D8" s="180"/>
      <c r="E8" s="180"/>
    </row>
    <row r="9" spans="1:5" ht="4.5" customHeight="1" thickBot="1" x14ac:dyDescent="0.3">
      <c r="A9" s="181"/>
      <c r="B9" s="181"/>
      <c r="C9" s="182"/>
      <c r="D9" s="182"/>
    </row>
    <row r="10" spans="1:5" ht="26.25" thickTop="1" x14ac:dyDescent="0.25">
      <c r="A10" s="183" t="s">
        <v>2</v>
      </c>
      <c r="B10" s="184" t="s">
        <v>25</v>
      </c>
      <c r="C10" s="184" t="s">
        <v>195</v>
      </c>
      <c r="D10" s="185" t="s">
        <v>196</v>
      </c>
    </row>
    <row r="11" spans="1:5" x14ac:dyDescent="0.25">
      <c r="A11" s="186" t="s">
        <v>10</v>
      </c>
      <c r="B11" s="187" t="s">
        <v>194</v>
      </c>
      <c r="C11" s="188">
        <f>54981696.63+'[2]nota nr 30-35'!$C$20</f>
        <v>55210968.840000004</v>
      </c>
      <c r="D11" s="110">
        <f>'[5]nota nr 25- 27'!$D$10+'[2]nota nr 30-35'!$D$20</f>
        <v>66365000</v>
      </c>
    </row>
    <row r="12" spans="1:5" ht="15.75" thickBot="1" x14ac:dyDescent="0.3">
      <c r="A12" s="189" t="s">
        <v>26</v>
      </c>
      <c r="B12" s="190" t="s">
        <v>197</v>
      </c>
      <c r="C12" s="191">
        <v>0</v>
      </c>
      <c r="D12" s="192">
        <v>0</v>
      </c>
    </row>
    <row r="13" spans="1:5" ht="15.75" thickTop="1" x14ac:dyDescent="0.25">
      <c r="B13" s="193"/>
      <c r="C13" s="193"/>
    </row>
    <row r="14" spans="1:5" ht="15.75" x14ac:dyDescent="0.25">
      <c r="A14" s="54" t="s">
        <v>198</v>
      </c>
      <c r="B14" s="194"/>
    </row>
    <row r="15" spans="1:5" ht="15.75" x14ac:dyDescent="0.25">
      <c r="A15" s="195" t="s">
        <v>199</v>
      </c>
      <c r="B15" s="195"/>
      <c r="C15" s="195"/>
      <c r="D15" s="195"/>
    </row>
    <row r="16" spans="1:5" ht="1.5" customHeight="1" thickBot="1" x14ac:dyDescent="0.3"/>
    <row r="17" spans="1:5" ht="15.75" thickTop="1" x14ac:dyDescent="0.25">
      <c r="A17" s="183" t="s">
        <v>2</v>
      </c>
      <c r="B17" s="184" t="s">
        <v>25</v>
      </c>
      <c r="C17" s="184" t="s">
        <v>200</v>
      </c>
      <c r="D17" s="185" t="s">
        <v>201</v>
      </c>
    </row>
    <row r="18" spans="1:5" x14ac:dyDescent="0.25">
      <c r="A18" s="186" t="s">
        <v>10</v>
      </c>
      <c r="B18" s="187" t="s">
        <v>202</v>
      </c>
      <c r="C18" s="196">
        <v>4.6147999999999998</v>
      </c>
      <c r="D18" s="197">
        <v>4.2584999999999997</v>
      </c>
    </row>
    <row r="19" spans="1:5" x14ac:dyDescent="0.25">
      <c r="A19" s="186" t="s">
        <v>12</v>
      </c>
      <c r="B19" s="187" t="s">
        <v>203</v>
      </c>
      <c r="C19" s="198">
        <v>3.7584</v>
      </c>
      <c r="D19" s="199">
        <v>3.7976999999999999</v>
      </c>
    </row>
    <row r="20" spans="1:5" ht="15.75" thickBot="1" x14ac:dyDescent="0.3">
      <c r="A20" s="189" t="s">
        <v>14</v>
      </c>
      <c r="B20" s="200" t="s">
        <v>204</v>
      </c>
      <c r="C20" s="201">
        <v>5.1326999999999998</v>
      </c>
      <c r="D20" s="202">
        <v>4.9970999999999997</v>
      </c>
    </row>
    <row r="21" spans="1:5" ht="15.75" thickTop="1" x14ac:dyDescent="0.25"/>
    <row r="22" spans="1:5" x14ac:dyDescent="0.25">
      <c r="A22" s="180" t="s">
        <v>205</v>
      </c>
      <c r="B22" s="180"/>
      <c r="C22" s="180"/>
      <c r="D22" s="180"/>
      <c r="E22" s="180"/>
    </row>
    <row r="23" spans="1:5" x14ac:dyDescent="0.25">
      <c r="A23" s="180"/>
      <c r="B23" s="180"/>
      <c r="C23" s="180"/>
      <c r="D23" s="180"/>
      <c r="E23" s="180"/>
    </row>
  </sheetData>
  <mergeCells count="7">
    <mergeCell ref="A22:E23"/>
    <mergeCell ref="A2:E2"/>
    <mergeCell ref="A4:B4"/>
    <mergeCell ref="A7:E7"/>
    <mergeCell ref="A8:E8"/>
    <mergeCell ref="A9:B9"/>
    <mergeCell ref="A15:D15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view="pageBreakPreview" zoomScale="85" zoomScaleNormal="85" zoomScaleSheetLayoutView="85" workbookViewId="0">
      <selection activeCell="L22" sqref="L22"/>
    </sheetView>
  </sheetViews>
  <sheetFormatPr defaultRowHeight="15" x14ac:dyDescent="0.25"/>
  <cols>
    <col min="1" max="1" width="46.140625" style="236" customWidth="1"/>
    <col min="2" max="2" width="17.140625" style="236" customWidth="1"/>
    <col min="3" max="3" width="16" style="236" customWidth="1"/>
    <col min="4" max="4" width="9.140625" style="236"/>
  </cols>
  <sheetData>
    <row r="1" spans="1:4" ht="15.75" x14ac:dyDescent="0.25">
      <c r="A1" s="54" t="s">
        <v>252</v>
      </c>
      <c r="B1" s="55"/>
      <c r="C1" s="55"/>
      <c r="D1" s="55"/>
    </row>
    <row r="2" spans="1:4" ht="15.75" x14ac:dyDescent="0.25">
      <c r="A2" s="261" t="s">
        <v>253</v>
      </c>
      <c r="B2" s="261"/>
      <c r="C2" s="261"/>
      <c r="D2" s="261"/>
    </row>
    <row r="3" spans="1:4" x14ac:dyDescent="0.25">
      <c r="A3" s="262"/>
      <c r="B3" s="262"/>
      <c r="C3" s="262"/>
      <c r="D3" s="262"/>
    </row>
    <row r="4" spans="1:4" ht="15.75" x14ac:dyDescent="0.25">
      <c r="A4" s="261" t="s">
        <v>254</v>
      </c>
      <c r="B4" s="261"/>
      <c r="C4" s="261"/>
      <c r="D4" s="261"/>
    </row>
    <row r="5" spans="1:4" ht="15.75" thickBot="1" x14ac:dyDescent="0.3">
      <c r="A5" s="263"/>
      <c r="B5" s="263"/>
      <c r="C5" s="263"/>
      <c r="D5" s="263"/>
    </row>
    <row r="6" spans="1:4" ht="26.25" thickTop="1" x14ac:dyDescent="0.25">
      <c r="A6" s="264"/>
      <c r="B6" s="265" t="s">
        <v>255</v>
      </c>
      <c r="C6" s="266" t="s">
        <v>256</v>
      </c>
      <c r="D6" s="263"/>
    </row>
    <row r="7" spans="1:4" x14ac:dyDescent="0.25">
      <c r="A7" s="267" t="s">
        <v>257</v>
      </c>
      <c r="B7" s="268">
        <f>[1]ZOiS_2020!O462+[1]ZOiS_2020!O463+[1]ZOiS_2020!O481+[1]ZOiS_2020!O482+212673.73</f>
        <v>217105.64</v>
      </c>
      <c r="C7" s="269">
        <v>-1512655.68</v>
      </c>
      <c r="D7" s="263"/>
    </row>
    <row r="8" spans="1:4" x14ac:dyDescent="0.25">
      <c r="A8" s="267" t="s">
        <v>258</v>
      </c>
      <c r="B8" s="268">
        <f>[1]ZOiS_2020!O479+[1]ZOiS_2020!O480-212673.73-84415.31</f>
        <v>1166793.43</v>
      </c>
      <c r="C8" s="269">
        <v>2053666.78</v>
      </c>
      <c r="D8" s="263"/>
    </row>
    <row r="9" spans="1:4" x14ac:dyDescent="0.25">
      <c r="A9" s="267" t="s">
        <v>259</v>
      </c>
      <c r="B9" s="270">
        <v>0</v>
      </c>
      <c r="C9" s="269">
        <v>98744.59</v>
      </c>
      <c r="D9" s="263"/>
    </row>
    <row r="10" spans="1:4" ht="15.75" thickBot="1" x14ac:dyDescent="0.3">
      <c r="A10" s="271" t="s">
        <v>260</v>
      </c>
      <c r="B10" s="272">
        <f>SUM(B7:B9)</f>
        <v>1383899.0699999998</v>
      </c>
      <c r="C10" s="273">
        <f>SUM(C7:C9)</f>
        <v>639755.69000000006</v>
      </c>
      <c r="D10" s="263"/>
    </row>
    <row r="11" spans="1:4" ht="15.75" thickTop="1" x14ac:dyDescent="0.25">
      <c r="A11" s="262"/>
      <c r="B11" s="262"/>
      <c r="C11" s="262"/>
      <c r="D11" s="262"/>
    </row>
    <row r="12" spans="1:4" x14ac:dyDescent="0.25">
      <c r="A12" s="262"/>
      <c r="B12" s="262"/>
      <c r="C12" s="262"/>
      <c r="D12" s="262"/>
    </row>
    <row r="13" spans="1:4" ht="15.75" x14ac:dyDescent="0.25">
      <c r="A13" s="261" t="s">
        <v>261</v>
      </c>
      <c r="B13" s="261"/>
      <c r="C13" s="261"/>
      <c r="D13" s="261"/>
    </row>
    <row r="14" spans="1:4" ht="15.75" thickBot="1" x14ac:dyDescent="0.3">
      <c r="A14" s="263"/>
      <c r="B14" s="263"/>
      <c r="C14" s="263"/>
      <c r="D14" s="263"/>
    </row>
    <row r="15" spans="1:4" ht="26.25" thickTop="1" x14ac:dyDescent="0.25">
      <c r="A15" s="274"/>
      <c r="B15" s="275" t="s">
        <v>255</v>
      </c>
      <c r="C15" s="276" t="s">
        <v>256</v>
      </c>
      <c r="D15" s="263"/>
    </row>
    <row r="16" spans="1:4" x14ac:dyDescent="0.25">
      <c r="A16" s="277" t="s">
        <v>262</v>
      </c>
      <c r="B16" s="278">
        <f>[1]Pasywa!K36+[1]Pasywa!K46</f>
        <v>-1169591.4400000051</v>
      </c>
      <c r="C16" s="279">
        <v>-9203119.7599999998</v>
      </c>
      <c r="D16" s="263"/>
    </row>
    <row r="17" spans="1:4" ht="25.5" x14ac:dyDescent="0.25">
      <c r="A17" s="277" t="s">
        <v>263</v>
      </c>
      <c r="B17" s="278">
        <f>[1]Pasywa!K51</f>
        <v>-178825.03000000003</v>
      </c>
      <c r="C17" s="279">
        <v>-1457105.23</v>
      </c>
      <c r="D17" s="263"/>
    </row>
    <row r="18" spans="1:4" x14ac:dyDescent="0.25">
      <c r="A18" s="277" t="s">
        <v>264</v>
      </c>
      <c r="B18" s="278">
        <f>[1]Pasywa!K50+[1]Pasywa!K52+[1]Pasywa!K53</f>
        <v>4431168.169999999</v>
      </c>
      <c r="C18" s="279">
        <v>0</v>
      </c>
      <c r="D18" s="263"/>
    </row>
    <row r="19" spans="1:4" x14ac:dyDescent="0.25">
      <c r="A19" s="277" t="s">
        <v>265</v>
      </c>
      <c r="B19" s="278">
        <f>-[1]CF_Dane_dodatkowe!E9</f>
        <v>-1150418.1000000003</v>
      </c>
      <c r="C19" s="279">
        <f>-[1]CF_Dane_dodatkowe!F9</f>
        <v>5364896.79</v>
      </c>
      <c r="D19" s="263"/>
    </row>
    <row r="20" spans="1:4" ht="15.75" thickBot="1" x14ac:dyDescent="0.3">
      <c r="A20" s="271" t="s">
        <v>260</v>
      </c>
      <c r="B20" s="272">
        <f>SUM(B16:B19)</f>
        <v>1932333.5999999933</v>
      </c>
      <c r="C20" s="273">
        <f>SUM(C16:C19)</f>
        <v>-5295328.2</v>
      </c>
      <c r="D20" s="263"/>
    </row>
    <row r="21" spans="1:4" ht="15.75" thickTop="1" x14ac:dyDescent="0.25">
      <c r="A21" s="263"/>
      <c r="B21" s="263"/>
      <c r="C21" s="263"/>
      <c r="D21" s="263"/>
    </row>
    <row r="22" spans="1:4" x14ac:dyDescent="0.25">
      <c r="A22" s="263"/>
      <c r="B22" s="263"/>
      <c r="C22" s="263"/>
      <c r="D22" s="263"/>
    </row>
    <row r="23" spans="1:4" x14ac:dyDescent="0.25">
      <c r="A23" s="263"/>
      <c r="B23" s="263"/>
      <c r="C23" s="263"/>
      <c r="D23" s="263"/>
    </row>
    <row r="24" spans="1:4" x14ac:dyDescent="0.25">
      <c r="A24" s="263"/>
      <c r="B24" s="263"/>
      <c r="C24" s="263"/>
      <c r="D24" s="263"/>
    </row>
  </sheetData>
  <mergeCells count="3">
    <mergeCell ref="A2:D2"/>
    <mergeCell ref="A4:D4"/>
    <mergeCell ref="A13:D13"/>
  </mergeCells>
  <pageMargins left="0.7" right="0.7" top="0.75" bottom="0.75" header="0.3" footer="0.3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Normal="100" zoomScaleSheetLayoutView="100" workbookViewId="0">
      <selection activeCell="B45" sqref="B45"/>
    </sheetView>
  </sheetViews>
  <sheetFormatPr defaultRowHeight="15" x14ac:dyDescent="0.25"/>
  <cols>
    <col min="1" max="1" width="3.85546875" style="56" customWidth="1"/>
    <col min="2" max="2" width="40.5703125" style="56" customWidth="1"/>
    <col min="3" max="3" width="21.28515625" style="56" customWidth="1"/>
    <col min="4" max="4" width="9.140625" style="56"/>
    <col min="5" max="5" width="8.7109375" style="56" customWidth="1"/>
    <col min="6" max="8" width="9.140625" style="56" hidden="1" customWidth="1"/>
    <col min="9" max="9" width="9.140625" style="56"/>
  </cols>
  <sheetData>
    <row r="1" spans="1:9" ht="15.75" x14ac:dyDescent="0.25">
      <c r="A1" s="54" t="s">
        <v>206</v>
      </c>
      <c r="B1" s="55"/>
      <c r="C1" s="55"/>
    </row>
    <row r="2" spans="1:9" ht="15.75" x14ac:dyDescent="0.25">
      <c r="A2" s="57" t="s">
        <v>207</v>
      </c>
      <c r="B2" s="55"/>
      <c r="C2" s="55"/>
    </row>
    <row r="3" spans="1:9" ht="15.75" x14ac:dyDescent="0.25">
      <c r="A3" s="57"/>
      <c r="B3" s="55"/>
      <c r="C3" s="55"/>
    </row>
    <row r="4" spans="1:9" x14ac:dyDescent="0.25">
      <c r="A4" s="203" t="s">
        <v>208</v>
      </c>
      <c r="B4" s="203"/>
      <c r="C4" s="203"/>
      <c r="D4" s="203"/>
      <c r="E4" s="203"/>
      <c r="F4" s="204"/>
      <c r="G4" s="204"/>
      <c r="H4" s="204"/>
      <c r="I4" s="205"/>
    </row>
    <row r="5" spans="1:9" ht="15.75" thickBot="1" x14ac:dyDescent="0.3">
      <c r="A5" s="55"/>
      <c r="B5" s="206"/>
      <c r="C5" s="207"/>
    </row>
    <row r="6" spans="1:9" ht="26.25" thickTop="1" x14ac:dyDescent="0.25">
      <c r="A6" s="208" t="s">
        <v>2</v>
      </c>
      <c r="B6" s="209" t="s">
        <v>209</v>
      </c>
      <c r="C6" s="210" t="s">
        <v>210</v>
      </c>
      <c r="D6" s="211"/>
      <c r="E6" s="211"/>
      <c r="F6" s="211"/>
      <c r="G6" s="211"/>
      <c r="H6" s="211"/>
      <c r="I6" s="211"/>
    </row>
    <row r="7" spans="1:9" x14ac:dyDescent="0.25">
      <c r="A7" s="212"/>
      <c r="B7" s="213" t="s">
        <v>211</v>
      </c>
      <c r="C7" s="214">
        <f>SUM(C8:C12)</f>
        <v>547</v>
      </c>
    </row>
    <row r="8" spans="1:9" x14ac:dyDescent="0.25">
      <c r="A8" s="212"/>
      <c r="B8" s="213" t="s">
        <v>212</v>
      </c>
      <c r="C8" s="214">
        <v>3</v>
      </c>
    </row>
    <row r="9" spans="1:9" x14ac:dyDescent="0.25">
      <c r="A9" s="212"/>
      <c r="B9" s="213" t="s">
        <v>213</v>
      </c>
      <c r="C9" s="214">
        <v>104</v>
      </c>
    </row>
    <row r="10" spans="1:9" x14ac:dyDescent="0.25">
      <c r="A10" s="212"/>
      <c r="B10" s="213" t="s">
        <v>214</v>
      </c>
      <c r="C10" s="214">
        <v>65</v>
      </c>
    </row>
    <row r="11" spans="1:9" x14ac:dyDescent="0.25">
      <c r="A11" s="212"/>
      <c r="B11" s="213" t="s">
        <v>215</v>
      </c>
      <c r="C11" s="214">
        <f>255+105+15</f>
        <v>375</v>
      </c>
    </row>
    <row r="12" spans="1:9" ht="3" customHeight="1" thickBot="1" x14ac:dyDescent="0.3">
      <c r="A12" s="215"/>
      <c r="B12" s="216"/>
      <c r="C12" s="217"/>
    </row>
    <row r="13" spans="1:9" ht="15.75" thickTop="1" x14ac:dyDescent="0.25">
      <c r="A13" s="55"/>
      <c r="B13" s="218"/>
      <c r="C13" s="207"/>
    </row>
    <row r="14" spans="1:9" ht="15.75" x14ac:dyDescent="0.25">
      <c r="A14" s="54" t="s">
        <v>216</v>
      </c>
      <c r="B14" s="55"/>
      <c r="C14" s="55"/>
    </row>
    <row r="15" spans="1:9" ht="15.75" x14ac:dyDescent="0.25">
      <c r="A15" s="57" t="s">
        <v>217</v>
      </c>
      <c r="B15" s="55"/>
      <c r="C15" s="55"/>
    </row>
    <row r="16" spans="1:9" ht="5.25" customHeight="1" x14ac:dyDescent="0.25">
      <c r="A16" s="55"/>
      <c r="B16" s="55"/>
      <c r="C16" s="55"/>
    </row>
    <row r="17" spans="1:9" x14ac:dyDescent="0.25">
      <c r="A17" s="219" t="s">
        <v>218</v>
      </c>
      <c r="B17" s="219"/>
      <c r="C17" s="219"/>
      <c r="D17" s="219"/>
      <c r="E17" s="219"/>
      <c r="F17" s="220"/>
      <c r="G17" s="220"/>
      <c r="H17" s="220"/>
    </row>
    <row r="18" spans="1:9" ht="6" customHeight="1" thickBot="1" x14ac:dyDescent="0.3">
      <c r="A18" s="220"/>
      <c r="B18" s="220"/>
      <c r="C18" s="220"/>
      <c r="D18" s="220"/>
      <c r="E18" s="220"/>
      <c r="F18" s="220"/>
      <c r="G18" s="220"/>
      <c r="H18" s="220"/>
    </row>
    <row r="19" spans="1:9" ht="15.75" thickTop="1" x14ac:dyDescent="0.25">
      <c r="B19" s="221" t="s">
        <v>227</v>
      </c>
      <c r="C19" s="222">
        <f>2303337.46+'[2]nota nr 42-44'!$D$21</f>
        <v>3310560.71</v>
      </c>
    </row>
    <row r="20" spans="1:9" ht="15.75" thickBot="1" x14ac:dyDescent="0.3">
      <c r="B20" s="223" t="s">
        <v>219</v>
      </c>
      <c r="C20" s="224">
        <f>645150.39+'[2]nota nr 42-44'!$C$22</f>
        <v>757534.97</v>
      </c>
    </row>
    <row r="21" spans="1:9" ht="15.75" thickTop="1" x14ac:dyDescent="0.25"/>
    <row r="22" spans="1:9" ht="15.75" x14ac:dyDescent="0.25">
      <c r="A22" s="54" t="s">
        <v>220</v>
      </c>
    </row>
    <row r="23" spans="1:9" ht="15.75" x14ac:dyDescent="0.25">
      <c r="A23" s="175" t="s">
        <v>221</v>
      </c>
      <c r="B23" s="175"/>
      <c r="C23" s="175"/>
      <c r="D23" s="175"/>
      <c r="E23" s="175"/>
    </row>
    <row r="24" spans="1:9" ht="15.75" x14ac:dyDescent="0.25">
      <c r="A24" s="225"/>
      <c r="B24" s="225"/>
      <c r="C24" s="225"/>
      <c r="D24" s="225"/>
      <c r="E24" s="225"/>
    </row>
    <row r="25" spans="1:9" x14ac:dyDescent="0.25">
      <c r="A25" s="226" t="s">
        <v>222</v>
      </c>
      <c r="B25" s="226"/>
      <c r="C25" s="226"/>
      <c r="D25" s="226"/>
      <c r="E25" s="227"/>
      <c r="F25" s="227"/>
      <c r="G25" s="227"/>
      <c r="H25" s="227"/>
    </row>
    <row r="26" spans="1:9" x14ac:dyDescent="0.25">
      <c r="A26" s="227"/>
      <c r="B26" s="227"/>
      <c r="C26" s="227"/>
      <c r="D26" s="227"/>
      <c r="E26" s="227"/>
      <c r="F26" s="227"/>
      <c r="G26" s="227"/>
      <c r="H26" s="227"/>
    </row>
    <row r="27" spans="1:9" ht="15.75" x14ac:dyDescent="0.25">
      <c r="A27" s="54" t="s">
        <v>223</v>
      </c>
      <c r="B27" s="227"/>
      <c r="C27" s="227"/>
      <c r="D27" s="227"/>
      <c r="E27" s="227"/>
      <c r="F27" s="227"/>
      <c r="G27" s="227"/>
      <c r="H27" s="227"/>
    </row>
    <row r="28" spans="1:9" ht="53.25" customHeight="1" x14ac:dyDescent="0.25">
      <c r="A28" s="228" t="s">
        <v>224</v>
      </c>
      <c r="B28" s="228"/>
      <c r="C28" s="228"/>
      <c r="D28" s="228"/>
      <c r="E28" s="228"/>
      <c r="F28" s="229"/>
      <c r="G28" s="229"/>
      <c r="H28" s="229"/>
      <c r="I28" s="230"/>
    </row>
    <row r="29" spans="1:9" x14ac:dyDescent="0.25">
      <c r="A29" s="226" t="s">
        <v>24</v>
      </c>
      <c r="B29" s="226"/>
      <c r="C29" s="227"/>
      <c r="D29" s="227"/>
      <c r="E29" s="227"/>
      <c r="F29" s="231"/>
      <c r="G29" s="231"/>
      <c r="H29" s="231"/>
    </row>
    <row r="30" spans="1:9" x14ac:dyDescent="0.25">
      <c r="A30" s="227"/>
      <c r="B30" s="227"/>
      <c r="C30" s="227"/>
      <c r="D30" s="227"/>
      <c r="E30" s="227"/>
      <c r="F30" s="231"/>
      <c r="G30" s="231"/>
      <c r="H30" s="231"/>
    </row>
    <row r="31" spans="1:9" ht="15.75" x14ac:dyDescent="0.25">
      <c r="A31" s="54" t="s">
        <v>225</v>
      </c>
      <c r="B31" s="227"/>
      <c r="C31" s="227"/>
      <c r="D31" s="227"/>
      <c r="E31" s="227"/>
      <c r="F31" s="231"/>
      <c r="G31" s="231"/>
      <c r="H31" s="231"/>
    </row>
    <row r="32" spans="1:9" ht="32.25" customHeight="1" x14ac:dyDescent="0.25">
      <c r="A32" s="232" t="s">
        <v>226</v>
      </c>
      <c r="B32" s="232"/>
      <c r="C32" s="232"/>
      <c r="D32" s="232"/>
      <c r="E32" s="232"/>
      <c r="F32" s="229"/>
      <c r="G32" s="229"/>
      <c r="H32" s="229"/>
      <c r="I32" s="230"/>
    </row>
    <row r="33" spans="1:1" x14ac:dyDescent="0.25">
      <c r="A33" s="233" t="s">
        <v>24</v>
      </c>
    </row>
  </sheetData>
  <mergeCells count="7">
    <mergeCell ref="A32:E32"/>
    <mergeCell ref="A4:E4"/>
    <mergeCell ref="A17:E17"/>
    <mergeCell ref="A23:E23"/>
    <mergeCell ref="A25:D25"/>
    <mergeCell ref="A28:E28"/>
    <mergeCell ref="A29:B2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view="pageBreakPreview" zoomScaleNormal="100" zoomScaleSheetLayoutView="100" workbookViewId="0">
      <selection activeCell="C22" sqref="C22"/>
    </sheetView>
  </sheetViews>
  <sheetFormatPr defaultRowHeight="15" x14ac:dyDescent="0.25"/>
  <cols>
    <col min="1" max="1" width="13.140625" customWidth="1"/>
  </cols>
  <sheetData>
    <row r="1" spans="1:10" ht="15.75" x14ac:dyDescent="0.25">
      <c r="A1" s="234" t="s">
        <v>228</v>
      </c>
      <c r="B1" s="235"/>
      <c r="C1" s="235"/>
      <c r="D1" s="235"/>
      <c r="E1" s="235"/>
      <c r="F1" s="235"/>
      <c r="G1" s="235"/>
      <c r="H1" s="235"/>
      <c r="I1" s="236"/>
      <c r="J1" s="236"/>
    </row>
    <row r="2" spans="1:10" ht="15.75" x14ac:dyDescent="0.25">
      <c r="A2" s="237" t="s">
        <v>229</v>
      </c>
      <c r="B2" s="235"/>
      <c r="C2" s="235"/>
      <c r="D2" s="235"/>
      <c r="E2" s="235"/>
      <c r="F2" s="235"/>
      <c r="G2" s="235"/>
      <c r="H2" s="235"/>
      <c r="I2" s="236"/>
      <c r="J2" s="236"/>
    </row>
    <row r="3" spans="1:10" x14ac:dyDescent="0.25">
      <c r="A3" s="238" t="s">
        <v>230</v>
      </c>
      <c r="B3" s="238"/>
      <c r="C3" s="238"/>
      <c r="D3" s="238"/>
      <c r="E3" s="238"/>
      <c r="F3" s="238"/>
      <c r="G3" s="238"/>
      <c r="H3" s="238"/>
      <c r="I3" s="236"/>
      <c r="J3" s="236"/>
    </row>
    <row r="4" spans="1:10" x14ac:dyDescent="0.25">
      <c r="A4" s="238" t="s">
        <v>231</v>
      </c>
      <c r="B4" s="238"/>
      <c r="C4" s="238"/>
      <c r="D4" s="238"/>
      <c r="E4" s="238"/>
      <c r="F4" s="238"/>
      <c r="G4" s="238"/>
      <c r="H4" s="238"/>
      <c r="I4" s="236"/>
      <c r="J4" s="236"/>
    </row>
    <row r="5" spans="1:10" x14ac:dyDescent="0.25">
      <c r="A5" s="239"/>
      <c r="B5" s="239"/>
      <c r="C5" s="239"/>
      <c r="D5" s="239"/>
      <c r="E5" s="239"/>
      <c r="F5" s="239"/>
      <c r="G5" s="239"/>
      <c r="H5" s="239"/>
      <c r="I5" s="236"/>
      <c r="J5" s="236"/>
    </row>
    <row r="6" spans="1:10" ht="13.5" customHeight="1" x14ac:dyDescent="0.25">
      <c r="A6" s="240" t="s">
        <v>232</v>
      </c>
      <c r="B6" s="239"/>
      <c r="C6" s="239"/>
      <c r="D6" s="239"/>
      <c r="E6" s="239"/>
      <c r="F6" s="239"/>
      <c r="G6" s="239"/>
      <c r="H6" s="239"/>
      <c r="I6" s="236"/>
      <c r="J6" s="236"/>
    </row>
    <row r="7" spans="1:10" ht="15.75" x14ac:dyDescent="0.25">
      <c r="A7" s="241" t="s">
        <v>233</v>
      </c>
      <c r="B7" s="241"/>
      <c r="C7" s="241"/>
      <c r="D7" s="241"/>
      <c r="E7" s="241"/>
      <c r="F7" s="241"/>
      <c r="G7" s="242"/>
      <c r="H7" s="242"/>
      <c r="I7" s="236"/>
      <c r="J7" s="236"/>
    </row>
    <row r="8" spans="1:10" x14ac:dyDescent="0.25">
      <c r="A8" s="243" t="s">
        <v>234</v>
      </c>
      <c r="B8" s="243"/>
      <c r="C8" s="243"/>
      <c r="D8" s="243"/>
      <c r="E8" s="243"/>
      <c r="F8" s="243"/>
      <c r="G8" s="243"/>
      <c r="H8" s="243"/>
      <c r="I8" s="236"/>
      <c r="J8" s="236"/>
    </row>
    <row r="9" spans="1:10" ht="29.25" customHeight="1" x14ac:dyDescent="0.25">
      <c r="A9" s="243"/>
      <c r="B9" s="243"/>
      <c r="C9" s="243"/>
      <c r="D9" s="243"/>
      <c r="E9" s="243"/>
      <c r="F9" s="243"/>
      <c r="G9" s="243"/>
      <c r="H9" s="243"/>
      <c r="I9" s="236"/>
      <c r="J9" s="236"/>
    </row>
    <row r="10" spans="1:10" x14ac:dyDescent="0.25">
      <c r="A10" s="239"/>
      <c r="B10" s="239"/>
      <c r="C10" s="239"/>
      <c r="D10" s="239"/>
      <c r="E10" s="239"/>
      <c r="F10" s="239"/>
      <c r="G10" s="239"/>
      <c r="H10" s="239"/>
      <c r="I10" s="236"/>
      <c r="J10" s="236"/>
    </row>
    <row r="11" spans="1:10" ht="14.25" customHeight="1" x14ac:dyDescent="0.25">
      <c r="A11" s="240" t="s">
        <v>235</v>
      </c>
      <c r="B11" s="239"/>
      <c r="C11" s="239"/>
      <c r="D11" s="239"/>
      <c r="E11" s="239"/>
      <c r="F11" s="239"/>
      <c r="G11" s="239"/>
      <c r="H11" s="239"/>
      <c r="I11" s="236"/>
      <c r="J11" s="236"/>
    </row>
    <row r="12" spans="1:10" ht="15.75" x14ac:dyDescent="0.25">
      <c r="A12" s="244" t="s">
        <v>236</v>
      </c>
      <c r="B12" s="244"/>
      <c r="C12" s="244"/>
      <c r="D12" s="244"/>
      <c r="E12" s="244"/>
      <c r="F12" s="244"/>
      <c r="G12" s="244"/>
      <c r="H12" s="244"/>
      <c r="I12" s="236"/>
      <c r="J12" s="236"/>
    </row>
    <row r="13" spans="1:10" x14ac:dyDescent="0.25">
      <c r="A13" s="243" t="s">
        <v>24</v>
      </c>
      <c r="B13" s="243"/>
      <c r="C13" s="243"/>
      <c r="D13" s="245"/>
      <c r="E13" s="245"/>
      <c r="F13" s="245"/>
      <c r="G13" s="245"/>
      <c r="H13" s="235"/>
      <c r="I13" s="236"/>
      <c r="J13" s="236"/>
    </row>
    <row r="14" spans="1:10" x14ac:dyDescent="0.25">
      <c r="A14" s="236"/>
      <c r="B14" s="236"/>
      <c r="C14" s="236"/>
      <c r="D14" s="236"/>
      <c r="E14" s="236"/>
      <c r="F14" s="236"/>
      <c r="G14" s="236"/>
      <c r="H14" s="236"/>
      <c r="I14" s="236"/>
      <c r="J14" s="236"/>
    </row>
    <row r="15" spans="1:10" x14ac:dyDescent="0.25">
      <c r="A15" s="236"/>
      <c r="B15" s="236"/>
      <c r="C15" s="236"/>
      <c r="D15" s="236"/>
      <c r="E15" s="236"/>
      <c r="F15" s="236"/>
      <c r="G15" s="236"/>
      <c r="H15" s="236"/>
      <c r="I15" s="236"/>
      <c r="J15" s="236"/>
    </row>
    <row r="16" spans="1:10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</row>
    <row r="17" spans="1:10" x14ac:dyDescent="0.25">
      <c r="A17" s="236"/>
      <c r="B17" s="236"/>
      <c r="C17" s="236"/>
      <c r="D17" s="236"/>
      <c r="E17" s="236"/>
      <c r="F17" s="236"/>
      <c r="G17" s="236"/>
      <c r="H17" s="236"/>
      <c r="I17" s="236"/>
      <c r="J17" s="236"/>
    </row>
  </sheetData>
  <mergeCells count="6">
    <mergeCell ref="A3:H3"/>
    <mergeCell ref="A4:H4"/>
    <mergeCell ref="A7:F7"/>
    <mergeCell ref="A8:H9"/>
    <mergeCell ref="A12:H12"/>
    <mergeCell ref="A13:C13"/>
  </mergeCells>
  <pageMargins left="0.7" right="0.7" top="0.75" bottom="0.75" header="0.3" footer="0.3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view="pageBreakPreview" zoomScaleNormal="100" zoomScaleSheetLayoutView="100" workbookViewId="0">
      <selection activeCell="B45" sqref="B45"/>
    </sheetView>
  </sheetViews>
  <sheetFormatPr defaultRowHeight="15" x14ac:dyDescent="0.25"/>
  <cols>
    <col min="1" max="1" width="6.140625" style="249" customWidth="1"/>
    <col min="2" max="2" width="60.7109375" style="249" bestFit="1" customWidth="1"/>
    <col min="3" max="3" width="22.140625" style="249" customWidth="1"/>
    <col min="4" max="4" width="21.140625" style="249" customWidth="1"/>
    <col min="5" max="5" width="15.140625" style="249" customWidth="1"/>
  </cols>
  <sheetData>
    <row r="1" spans="1:5" ht="15.75" x14ac:dyDescent="0.25">
      <c r="A1" s="246" t="s">
        <v>237</v>
      </c>
      <c r="B1" s="56"/>
      <c r="C1" s="56"/>
      <c r="D1" s="56"/>
      <c r="E1" s="56"/>
    </row>
    <row r="2" spans="1:5" ht="15.75" x14ac:dyDescent="0.25">
      <c r="A2" s="57" t="s">
        <v>238</v>
      </c>
      <c r="B2" s="56"/>
      <c r="C2" s="56"/>
      <c r="D2" s="56"/>
      <c r="E2" s="56"/>
    </row>
    <row r="3" spans="1:5" x14ac:dyDescent="0.25">
      <c r="A3" s="247" t="s">
        <v>248</v>
      </c>
      <c r="B3" s="248"/>
      <c r="C3" s="248"/>
      <c r="D3" s="248"/>
      <c r="E3" s="248"/>
    </row>
    <row r="5" spans="1:5" ht="15.75" x14ac:dyDescent="0.25">
      <c r="A5" s="246" t="s">
        <v>239</v>
      </c>
      <c r="B5" s="56"/>
      <c r="C5" s="56"/>
      <c r="D5" s="56"/>
      <c r="E5" s="56"/>
    </row>
    <row r="6" spans="1:5" ht="35.25" customHeight="1" x14ac:dyDescent="0.25">
      <c r="A6" s="250" t="s">
        <v>240</v>
      </c>
      <c r="B6" s="250"/>
      <c r="C6" s="250"/>
      <c r="D6" s="250"/>
      <c r="E6" s="250"/>
    </row>
    <row r="7" spans="1:5" ht="15.75" thickBot="1" x14ac:dyDescent="0.3">
      <c r="A7" s="55"/>
      <c r="B7" s="55"/>
      <c r="C7" s="55"/>
      <c r="D7" s="56"/>
      <c r="E7" s="56"/>
    </row>
    <row r="8" spans="1:5" ht="39" thickTop="1" x14ac:dyDescent="0.25">
      <c r="A8" s="251" t="s">
        <v>2</v>
      </c>
      <c r="B8" s="209" t="s">
        <v>241</v>
      </c>
      <c r="C8" s="209" t="s">
        <v>242</v>
      </c>
      <c r="D8" s="210" t="s">
        <v>243</v>
      </c>
      <c r="E8" s="211"/>
    </row>
    <row r="9" spans="1:5" x14ac:dyDescent="0.25">
      <c r="A9" s="212">
        <v>1</v>
      </c>
      <c r="B9" s="213" t="s">
        <v>244</v>
      </c>
      <c r="C9" s="252">
        <v>155000</v>
      </c>
      <c r="D9" s="253">
        <v>165000</v>
      </c>
      <c r="E9" s="56"/>
    </row>
    <row r="10" spans="1:5" x14ac:dyDescent="0.25">
      <c r="A10" s="212">
        <v>2</v>
      </c>
      <c r="B10" s="213" t="s">
        <v>245</v>
      </c>
      <c r="C10" s="252">
        <v>0</v>
      </c>
      <c r="D10" s="253">
        <v>0</v>
      </c>
      <c r="E10" s="56"/>
    </row>
    <row r="11" spans="1:5" x14ac:dyDescent="0.25">
      <c r="A11" s="212">
        <v>3</v>
      </c>
      <c r="B11" s="213" t="s">
        <v>246</v>
      </c>
      <c r="C11" s="252">
        <v>0</v>
      </c>
      <c r="D11" s="253">
        <v>0</v>
      </c>
      <c r="E11" s="56"/>
    </row>
    <row r="12" spans="1:5" x14ac:dyDescent="0.25">
      <c r="A12" s="212">
        <v>4</v>
      </c>
      <c r="B12" s="213" t="s">
        <v>247</v>
      </c>
      <c r="C12" s="252">
        <v>0</v>
      </c>
      <c r="D12" s="253">
        <v>0</v>
      </c>
      <c r="E12" s="56"/>
    </row>
    <row r="13" spans="1:5" ht="15.75" thickBot="1" x14ac:dyDescent="0.3">
      <c r="A13" s="254"/>
      <c r="B13" s="255" t="s">
        <v>22</v>
      </c>
      <c r="C13" s="256">
        <f>SUM(C9:C12)</f>
        <v>155000</v>
      </c>
      <c r="D13" s="257">
        <f>SUM(D9:D12)</f>
        <v>165000</v>
      </c>
      <c r="E13" s="56"/>
    </row>
    <row r="14" spans="1:5" ht="15.75" thickTop="1" x14ac:dyDescent="0.25">
      <c r="A14" s="56"/>
      <c r="B14" s="56"/>
      <c r="C14" s="56"/>
      <c r="D14" s="56"/>
      <c r="E14" s="56"/>
    </row>
  </sheetData>
  <mergeCells count="2">
    <mergeCell ref="A3:E3"/>
    <mergeCell ref="A6:E6"/>
  </mergeCells>
  <pageMargins left="0.7" right="0.7" top="0.75" bottom="0.75" header="0.3" footer="0.3"/>
  <pageSetup paperSize="9"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view="pageBreakPreview" zoomScaleNormal="100" zoomScaleSheetLayoutView="100" workbookViewId="0">
      <selection activeCell="B45" sqref="B45"/>
    </sheetView>
  </sheetViews>
  <sheetFormatPr defaultRowHeight="15" x14ac:dyDescent="0.25"/>
  <sheetData>
    <row r="1" spans="1:16" ht="15.75" x14ac:dyDescent="0.25">
      <c r="A1" s="258" t="s">
        <v>239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</row>
    <row r="2" spans="1:16" ht="15.75" x14ac:dyDescent="0.25">
      <c r="A2" s="237" t="s">
        <v>249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spans="1:16" x14ac:dyDescent="0.25">
      <c r="A3" s="259" t="s">
        <v>250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</row>
    <row r="4" spans="1:16" x14ac:dyDescent="0.25">
      <c r="A4" s="259"/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</row>
    <row r="5" spans="1:16" x14ac:dyDescent="0.25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</row>
    <row r="6" spans="1:16" x14ac:dyDescent="0.25">
      <c r="A6" s="259"/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</row>
    <row r="7" spans="1:16" x14ac:dyDescent="0.25">
      <c r="A7" s="259"/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</row>
    <row r="8" spans="1:16" x14ac:dyDescent="0.25">
      <c r="A8" s="259"/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</row>
    <row r="9" spans="1:16" x14ac:dyDescent="0.25">
      <c r="A9" s="259"/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</row>
    <row r="10" spans="1:16" x14ac:dyDescent="0.25">
      <c r="A10" s="260"/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</row>
    <row r="11" spans="1:16" x14ac:dyDescent="0.25">
      <c r="A11" s="260"/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</row>
  </sheetData>
  <mergeCells count="1">
    <mergeCell ref="A3:P9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6</vt:i4>
      </vt:variant>
    </vt:vector>
  </HeadingPairs>
  <TitlesOfParts>
    <vt:vector size="15" baseType="lpstr">
      <vt:lpstr>Nota 21,22</vt:lpstr>
      <vt:lpstr>Nota 23</vt:lpstr>
      <vt:lpstr>Nota 24</vt:lpstr>
      <vt:lpstr>Nota 25-27</vt:lpstr>
      <vt:lpstr>Nota 28</vt:lpstr>
      <vt:lpstr>Nota 29-33</vt:lpstr>
      <vt:lpstr>Nota 34-36</vt:lpstr>
      <vt:lpstr>Nota 37,38</vt:lpstr>
      <vt:lpstr>Nota 39</vt:lpstr>
      <vt:lpstr>'Nota 23'!Obszar_wydruku</vt:lpstr>
      <vt:lpstr>'Nota 24'!Obszar_wydruku</vt:lpstr>
      <vt:lpstr>'Nota 28'!Obszar_wydruku</vt:lpstr>
      <vt:lpstr>'Nota 29-33'!Obszar_wydruku</vt:lpstr>
      <vt:lpstr>'Nota 34-36'!Obszar_wydruku</vt:lpstr>
      <vt:lpstr>'Nota 39'!Obszar_wydruku</vt:lpstr>
    </vt:vector>
  </TitlesOfParts>
  <Company>Exatel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Kiełbasa Wioletta</dc:creator>
  <cp:lastModifiedBy>Kiełbasa Wioletta</cp:lastModifiedBy>
  <cp:lastPrinted>2021-03-30T11:56:57Z</cp:lastPrinted>
  <dcterms:created xsi:type="dcterms:W3CDTF">2021-03-30T11:43:42Z</dcterms:created>
  <dcterms:modified xsi:type="dcterms:W3CDTF">2021-03-30T15:32:33Z</dcterms:modified>
</cp:coreProperties>
</file>