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oletta.kielbasa\Desktop\Audyt 2020\KOnso\"/>
    </mc:Choice>
  </mc:AlternateContent>
  <bookViews>
    <workbookView xWindow="0" yWindow="0" windowWidth="28800" windowHeight="11700" firstSheet="7" activeTab="8"/>
  </bookViews>
  <sheets>
    <sheet name="Nota 1" sheetId="1" r:id="rId1"/>
    <sheet name="Nota 2" sheetId="2" r:id="rId2"/>
    <sheet name="Nota 2_cd" sheetId="3" r:id="rId3"/>
    <sheet name="Nota 3" sheetId="4" r:id="rId4"/>
    <sheet name="Nota 4" sheetId="5" r:id="rId5"/>
    <sheet name="Nota 5" sheetId="6" r:id="rId6"/>
    <sheet name="Nota 6" sheetId="7" r:id="rId7"/>
    <sheet name="Nota 6_cd" sheetId="8" r:id="rId8"/>
    <sheet name="Nota 7" sheetId="9" r:id="rId9"/>
    <sheet name="Nota 8" sheetId="10" r:id="rId10"/>
    <sheet name="Nota 9" sheetId="11" r:id="rId11"/>
    <sheet name="Nota 10" sheetId="12" r:id="rId12"/>
    <sheet name="Nota 11, 12" sheetId="13" r:id="rId13"/>
    <sheet name="Nota 13" sheetId="14" r:id="rId14"/>
    <sheet name="Nota 14, 15" sheetId="15" r:id="rId15"/>
    <sheet name="Nota 16" sheetId="16" r:id="rId16"/>
    <sheet name="Nota 17" sheetId="17" r:id="rId17"/>
    <sheet name="Nota 18" sheetId="18" r:id="rId18"/>
    <sheet name="Nota 19, 20" sheetId="19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xlnm.Print_Area" localSheetId="0">'Nota 1'!$A$1:$E$53</definedName>
    <definedName name="_xlnm.Print_Area" localSheetId="17">'Nota 18'!$A$1:$C$37</definedName>
    <definedName name="_xlnm.Print_Area" localSheetId="1">'Nota 2'!$A$1:$G$148</definedName>
    <definedName name="_xlnm.Print_Area" localSheetId="4">'Nota 4'!$A$1:$I$50</definedName>
    <definedName name="_xlnm.Print_Area" localSheetId="8">'Nota 7'!$A$1:$D$15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9" l="1"/>
  <c r="C14" i="9"/>
  <c r="D12" i="9"/>
  <c r="C12" i="9"/>
  <c r="D11" i="9"/>
  <c r="C11" i="9"/>
  <c r="D10" i="9"/>
  <c r="C10" i="9"/>
  <c r="C9" i="9" s="1"/>
  <c r="C15" i="9" s="1"/>
  <c r="D9" i="9"/>
  <c r="D15" i="9" s="1"/>
  <c r="C7" i="9"/>
  <c r="I13" i="4" l="1"/>
  <c r="I14" i="4"/>
  <c r="I15" i="4"/>
  <c r="I16" i="4"/>
  <c r="I17" i="4"/>
  <c r="I18" i="4"/>
  <c r="D24" i="19"/>
  <c r="C24" i="19"/>
  <c r="C23" i="19"/>
  <c r="D22" i="19"/>
  <c r="C22" i="19"/>
  <c r="D21" i="19"/>
  <c r="D20" i="19" s="1"/>
  <c r="C21" i="19"/>
  <c r="D19" i="19"/>
  <c r="C19" i="19"/>
  <c r="D18" i="19"/>
  <c r="C18" i="19"/>
  <c r="D11" i="19"/>
  <c r="C11" i="19"/>
  <c r="C10" i="19"/>
  <c r="D9" i="19"/>
  <c r="C9" i="19"/>
  <c r="D8" i="19"/>
  <c r="C8" i="19"/>
  <c r="C7" i="19" s="1"/>
  <c r="D6" i="19"/>
  <c r="C6" i="19"/>
  <c r="D5" i="19"/>
  <c r="C5" i="19"/>
  <c r="C36" i="18"/>
  <c r="B36" i="18"/>
  <c r="C35" i="18"/>
  <c r="C34" i="18"/>
  <c r="B34" i="18"/>
  <c r="C33" i="18"/>
  <c r="B33" i="18"/>
  <c r="C32" i="18"/>
  <c r="B32" i="18"/>
  <c r="C30" i="18"/>
  <c r="B30" i="18"/>
  <c r="C28" i="18"/>
  <c r="B28" i="18"/>
  <c r="C27" i="18"/>
  <c r="B27" i="18"/>
  <c r="B26" i="18"/>
  <c r="C25" i="18"/>
  <c r="B25" i="18"/>
  <c r="C24" i="18"/>
  <c r="B24" i="18"/>
  <c r="C23" i="18"/>
  <c r="B23" i="18"/>
  <c r="C22" i="18"/>
  <c r="B21" i="18"/>
  <c r="B20" i="18"/>
  <c r="B19" i="18" s="1"/>
  <c r="B18" i="18"/>
  <c r="C17" i="18"/>
  <c r="B17" i="18"/>
  <c r="C16" i="18"/>
  <c r="B14" i="18"/>
  <c r="B13" i="18"/>
  <c r="B12" i="18"/>
  <c r="C10" i="18"/>
  <c r="C11" i="18" s="1"/>
  <c r="B10" i="18"/>
  <c r="B9" i="18"/>
  <c r="B8" i="18"/>
  <c r="B11" i="18" s="1"/>
  <c r="C7" i="18"/>
  <c r="B7" i="18"/>
  <c r="D13" i="17"/>
  <c r="C13" i="17"/>
  <c r="D12" i="17"/>
  <c r="C12" i="17"/>
  <c r="C5" i="17" s="1"/>
  <c r="D5" i="17"/>
  <c r="D19" i="17" s="1"/>
  <c r="D18" i="17" s="1"/>
  <c r="D24" i="17" s="1"/>
  <c r="C22" i="16"/>
  <c r="D21" i="16"/>
  <c r="C21" i="16"/>
  <c r="D20" i="16"/>
  <c r="D19" i="16" s="1"/>
  <c r="D13" i="16"/>
  <c r="C13" i="16"/>
  <c r="D12" i="16"/>
  <c r="C12" i="16"/>
  <c r="C11" i="16"/>
  <c r="D10" i="16"/>
  <c r="C10" i="16"/>
  <c r="D9" i="16"/>
  <c r="C9" i="16"/>
  <c r="D7" i="16"/>
  <c r="C7" i="16"/>
  <c r="D6" i="16"/>
  <c r="D5" i="16" s="1"/>
  <c r="C6" i="16"/>
  <c r="D42" i="15"/>
  <c r="C41" i="15"/>
  <c r="D40" i="15"/>
  <c r="F37" i="15"/>
  <c r="F44" i="15" s="1"/>
  <c r="E37" i="15"/>
  <c r="E44" i="15" s="1"/>
  <c r="C37" i="15"/>
  <c r="F36" i="15"/>
  <c r="E36" i="15"/>
  <c r="E43" i="15" s="1"/>
  <c r="C36" i="15"/>
  <c r="C40" i="15" s="1"/>
  <c r="C42" i="15" s="1"/>
  <c r="C29" i="15"/>
  <c r="C28" i="15"/>
  <c r="C27" i="15"/>
  <c r="C26" i="15"/>
  <c r="C20" i="15"/>
  <c r="C18" i="15"/>
  <c r="C16" i="15" s="1"/>
  <c r="J10" i="15"/>
  <c r="I10" i="15"/>
  <c r="H10" i="15"/>
  <c r="G10" i="15"/>
  <c r="F10" i="15"/>
  <c r="E10" i="15"/>
  <c r="D10" i="15"/>
  <c r="C10" i="15"/>
  <c r="J5" i="15"/>
  <c r="I5" i="15"/>
  <c r="H5" i="15"/>
  <c r="G5" i="15"/>
  <c r="F5" i="15"/>
  <c r="E5" i="15"/>
  <c r="D5" i="15"/>
  <c r="C5" i="15"/>
  <c r="E29" i="14"/>
  <c r="D29" i="14"/>
  <c r="C29" i="14"/>
  <c r="B29" i="14"/>
  <c r="F27" i="14"/>
  <c r="D26" i="14"/>
  <c r="C26" i="14"/>
  <c r="B26" i="14"/>
  <c r="E25" i="14"/>
  <c r="B25" i="14"/>
  <c r="F23" i="14"/>
  <c r="F29" i="14" s="1"/>
  <c r="E22" i="14"/>
  <c r="E24" i="14" s="1"/>
  <c r="D22" i="14"/>
  <c r="D24" i="14" s="1"/>
  <c r="D28" i="14" s="1"/>
  <c r="D30" i="14" s="1"/>
  <c r="C22" i="14"/>
  <c r="C24" i="14" s="1"/>
  <c r="C28" i="14" s="1"/>
  <c r="C30" i="14" s="1"/>
  <c r="B22" i="14"/>
  <c r="B24" i="14" s="1"/>
  <c r="B16" i="14"/>
  <c r="F16" i="14" s="1"/>
  <c r="B15" i="14"/>
  <c r="D14" i="14"/>
  <c r="C14" i="14"/>
  <c r="F14" i="14" s="1"/>
  <c r="E13" i="14"/>
  <c r="D13" i="14"/>
  <c r="B12" i="14"/>
  <c r="F12" i="14" s="1"/>
  <c r="B11" i="14"/>
  <c r="F11" i="14" s="1"/>
  <c r="B10" i="14"/>
  <c r="F10" i="14" s="1"/>
  <c r="B9" i="14"/>
  <c r="F9" i="14" s="1"/>
  <c r="B8" i="14"/>
  <c r="F8" i="14" s="1"/>
  <c r="B6" i="14"/>
  <c r="F6" i="14" s="1"/>
  <c r="E5" i="14"/>
  <c r="E7" i="14" s="1"/>
  <c r="E15" i="14" s="1"/>
  <c r="E17" i="14" s="1"/>
  <c r="D5" i="14"/>
  <c r="D7" i="14" s="1"/>
  <c r="C5" i="14"/>
  <c r="C7" i="14" s="1"/>
  <c r="C15" i="14" s="1"/>
  <c r="C17" i="14" s="1"/>
  <c r="B5" i="14"/>
  <c r="C33" i="13"/>
  <c r="C36" i="13" s="1"/>
  <c r="D27" i="13"/>
  <c r="C27" i="13"/>
  <c r="D21" i="13"/>
  <c r="B26" i="13" s="1"/>
  <c r="B27" i="13" s="1"/>
  <c r="C20" i="13"/>
  <c r="D19" i="12"/>
  <c r="D17" i="12" s="1"/>
  <c r="C19" i="12"/>
  <c r="C17" i="12" s="1"/>
  <c r="C16" i="12"/>
  <c r="C14" i="12"/>
  <c r="D13" i="12"/>
  <c r="D12" i="12" s="1"/>
  <c r="C13" i="12"/>
  <c r="D6" i="12"/>
  <c r="D7" i="12" s="1"/>
  <c r="C6" i="12"/>
  <c r="C5" i="12"/>
  <c r="G47" i="11"/>
  <c r="E46" i="11"/>
  <c r="C46" i="11"/>
  <c r="G46" i="11" s="1"/>
  <c r="G45" i="11"/>
  <c r="E44" i="11"/>
  <c r="E43" i="11" s="1"/>
  <c r="C44" i="11"/>
  <c r="G44" i="11" s="1"/>
  <c r="F43" i="11"/>
  <c r="D43" i="11"/>
  <c r="E42" i="11"/>
  <c r="C42" i="11"/>
  <c r="C41" i="11" s="1"/>
  <c r="F41" i="11"/>
  <c r="F48" i="11" s="1"/>
  <c r="D41" i="11"/>
  <c r="E40" i="11"/>
  <c r="C40" i="11"/>
  <c r="D35" i="11"/>
  <c r="C35" i="11"/>
  <c r="D34" i="11"/>
  <c r="C34" i="11"/>
  <c r="E34" i="11" s="1"/>
  <c r="D33" i="11"/>
  <c r="C33" i="11"/>
  <c r="D32" i="11"/>
  <c r="C32" i="11"/>
  <c r="E30" i="11"/>
  <c r="E29" i="11"/>
  <c r="E28" i="11"/>
  <c r="E27" i="11"/>
  <c r="D26" i="11"/>
  <c r="E26" i="11" s="1"/>
  <c r="D24" i="11"/>
  <c r="D22" i="11" s="1"/>
  <c r="C24" i="11"/>
  <c r="E23" i="11"/>
  <c r="C22" i="11"/>
  <c r="G17" i="11"/>
  <c r="F17" i="11"/>
  <c r="D17" i="11"/>
  <c r="C17" i="11"/>
  <c r="G16" i="11"/>
  <c r="F16" i="11"/>
  <c r="D16" i="11"/>
  <c r="E16" i="11" s="1"/>
  <c r="C16" i="11"/>
  <c r="F15" i="11"/>
  <c r="H15" i="11" s="1"/>
  <c r="C15" i="11"/>
  <c r="E15" i="11" s="1"/>
  <c r="H14" i="11"/>
  <c r="E14" i="11"/>
  <c r="G13" i="11"/>
  <c r="G12" i="11" s="1"/>
  <c r="F13" i="11"/>
  <c r="D13" i="11"/>
  <c r="D12" i="11" s="1"/>
  <c r="C13" i="11"/>
  <c r="C12" i="11"/>
  <c r="H10" i="11"/>
  <c r="E10" i="11"/>
  <c r="H9" i="11"/>
  <c r="E9" i="11"/>
  <c r="H8" i="11"/>
  <c r="E8" i="11"/>
  <c r="G7" i="11"/>
  <c r="F7" i="11"/>
  <c r="H7" i="11" s="1"/>
  <c r="D7" i="11"/>
  <c r="D6" i="11" s="1"/>
  <c r="C7" i="11"/>
  <c r="G6" i="11"/>
  <c r="F6" i="11"/>
  <c r="C6" i="11"/>
  <c r="D22" i="10"/>
  <c r="D21" i="10" s="1"/>
  <c r="D19" i="10"/>
  <c r="D18" i="10"/>
  <c r="F10" i="10"/>
  <c r="F12" i="10" s="1"/>
  <c r="D10" i="10"/>
  <c r="D12" i="10" s="1"/>
  <c r="C9" i="10"/>
  <c r="E6" i="10"/>
  <c r="E10" i="10" s="1"/>
  <c r="E12" i="10" s="1"/>
  <c r="C6" i="10"/>
  <c r="C10" i="10" s="1"/>
  <c r="C12" i="10" s="1"/>
  <c r="G28" i="7"/>
  <c r="G27" i="7"/>
  <c r="G26" i="7"/>
  <c r="G25" i="7"/>
  <c r="G24" i="7"/>
  <c r="E10" i="7" s="1"/>
  <c r="F23" i="7"/>
  <c r="E23" i="7"/>
  <c r="D23" i="7"/>
  <c r="C23" i="7"/>
  <c r="G22" i="7"/>
  <c r="G21" i="7"/>
  <c r="E7" i="7" s="1"/>
  <c r="F20" i="7"/>
  <c r="E20" i="7"/>
  <c r="D20" i="7"/>
  <c r="C20" i="7"/>
  <c r="C19" i="7"/>
  <c r="G13" i="7"/>
  <c r="G12" i="7"/>
  <c r="G11" i="7"/>
  <c r="F9" i="7"/>
  <c r="D9" i="7"/>
  <c r="C9" i="7"/>
  <c r="G8" i="7"/>
  <c r="F6" i="7"/>
  <c r="F14" i="7" s="1"/>
  <c r="D6" i="7"/>
  <c r="C6" i="7"/>
  <c r="E5" i="7"/>
  <c r="C9" i="6"/>
  <c r="C8" i="6" s="1"/>
  <c r="C10" i="6" s="1"/>
  <c r="C6" i="6"/>
  <c r="G39" i="5"/>
  <c r="F39" i="5"/>
  <c r="E39" i="5"/>
  <c r="D39" i="5"/>
  <c r="C39" i="5"/>
  <c r="I37" i="5"/>
  <c r="E37" i="5"/>
  <c r="I36" i="5"/>
  <c r="I35" i="5"/>
  <c r="I34" i="5"/>
  <c r="I33" i="5"/>
  <c r="F32" i="5"/>
  <c r="F29" i="5" s="1"/>
  <c r="E32" i="5"/>
  <c r="I32" i="5" s="1"/>
  <c r="D32" i="5"/>
  <c r="I31" i="5"/>
  <c r="I30" i="5"/>
  <c r="H29" i="5"/>
  <c r="G29" i="5"/>
  <c r="E29" i="5"/>
  <c r="D29" i="5"/>
  <c r="C29" i="5"/>
  <c r="I28" i="5"/>
  <c r="I27" i="5"/>
  <c r="I26" i="5"/>
  <c r="G25" i="5"/>
  <c r="G23" i="5" s="1"/>
  <c r="G38" i="5" s="1"/>
  <c r="F25" i="5"/>
  <c r="E25" i="5"/>
  <c r="E23" i="5" s="1"/>
  <c r="D25" i="5"/>
  <c r="D23" i="5" s="1"/>
  <c r="D38" i="5" s="1"/>
  <c r="H24" i="5"/>
  <c r="H23" i="5" s="1"/>
  <c r="H38" i="5" s="1"/>
  <c r="F23" i="5"/>
  <c r="C23" i="5"/>
  <c r="I22" i="5"/>
  <c r="E22" i="5"/>
  <c r="I21" i="5"/>
  <c r="I16" i="5"/>
  <c r="H16" i="5"/>
  <c r="D15" i="5"/>
  <c r="I15" i="5" s="1"/>
  <c r="F14" i="5"/>
  <c r="F12" i="5" s="1"/>
  <c r="E14" i="5"/>
  <c r="I14" i="5" s="1"/>
  <c r="D14" i="5"/>
  <c r="I13" i="5"/>
  <c r="H12" i="5"/>
  <c r="G12" i="5"/>
  <c r="C12" i="5"/>
  <c r="H11" i="5"/>
  <c r="I11" i="5" s="1"/>
  <c r="G10" i="5"/>
  <c r="G8" i="5" s="1"/>
  <c r="G17" i="5" s="1"/>
  <c r="F10" i="5"/>
  <c r="E10" i="5"/>
  <c r="E8" i="5" s="1"/>
  <c r="D10" i="5"/>
  <c r="D8" i="5" s="1"/>
  <c r="I9" i="5"/>
  <c r="F8" i="5"/>
  <c r="C8" i="5"/>
  <c r="C17" i="5" s="1"/>
  <c r="I7" i="5"/>
  <c r="E7" i="5"/>
  <c r="I6" i="5"/>
  <c r="H6" i="5"/>
  <c r="H39" i="5" s="1"/>
  <c r="H29" i="4"/>
  <c r="F29" i="4"/>
  <c r="E29" i="4"/>
  <c r="D29" i="4"/>
  <c r="C29" i="4"/>
  <c r="I27" i="4"/>
  <c r="I26" i="4"/>
  <c r="H25" i="4"/>
  <c r="G25" i="4"/>
  <c r="F25" i="4"/>
  <c r="E25" i="4"/>
  <c r="D25" i="4"/>
  <c r="C25" i="4"/>
  <c r="G24" i="4"/>
  <c r="I24" i="4" s="1"/>
  <c r="H23" i="4"/>
  <c r="F23" i="4"/>
  <c r="E23" i="4"/>
  <c r="D23" i="4"/>
  <c r="C23" i="4"/>
  <c r="F22" i="4"/>
  <c r="E22" i="4"/>
  <c r="G21" i="4"/>
  <c r="H12" i="4"/>
  <c r="G12" i="4"/>
  <c r="F12" i="4"/>
  <c r="E12" i="4"/>
  <c r="D12" i="4"/>
  <c r="C12" i="4"/>
  <c r="I11" i="4"/>
  <c r="I10" i="4"/>
  <c r="H9" i="4"/>
  <c r="H19" i="4" s="1"/>
  <c r="G9" i="4"/>
  <c r="F9" i="4"/>
  <c r="E9" i="4"/>
  <c r="D9" i="4"/>
  <c r="D19" i="4" s="1"/>
  <c r="C9" i="4"/>
  <c r="C19" i="4" s="1"/>
  <c r="F8" i="4"/>
  <c r="F19" i="4" s="1"/>
  <c r="E8" i="4"/>
  <c r="G7" i="4"/>
  <c r="I7" i="4" s="1"/>
  <c r="G45" i="3"/>
  <c r="D45" i="3"/>
  <c r="G44" i="3"/>
  <c r="D44" i="3" s="1"/>
  <c r="G42" i="3"/>
  <c r="G41" i="3"/>
  <c r="E41" i="3" s="1"/>
  <c r="G40" i="3"/>
  <c r="E40" i="3" s="1"/>
  <c r="G39" i="3"/>
  <c r="G38" i="3"/>
  <c r="G37" i="3" s="1"/>
  <c r="E38" i="3"/>
  <c r="F37" i="3"/>
  <c r="D37" i="3"/>
  <c r="G36" i="3"/>
  <c r="D36" i="3" s="1"/>
  <c r="G35" i="3"/>
  <c r="G34" i="3"/>
  <c r="D34" i="3" s="1"/>
  <c r="E34" i="3" s="1"/>
  <c r="G33" i="3"/>
  <c r="D33" i="3" s="1"/>
  <c r="E33" i="3" s="1"/>
  <c r="G32" i="3"/>
  <c r="G31" i="3"/>
  <c r="D31" i="3" s="1"/>
  <c r="G30" i="3"/>
  <c r="D30" i="3" s="1"/>
  <c r="E30" i="3" s="1"/>
  <c r="G29" i="3"/>
  <c r="G26" i="3"/>
  <c r="D26" i="3" s="1"/>
  <c r="G25" i="3"/>
  <c r="D25" i="3" s="1"/>
  <c r="G24" i="3"/>
  <c r="D24" i="3"/>
  <c r="E24" i="3" s="1"/>
  <c r="F23" i="3"/>
  <c r="G22" i="3"/>
  <c r="D22" i="3" s="1"/>
  <c r="G21" i="3"/>
  <c r="D21" i="3"/>
  <c r="G20" i="3"/>
  <c r="G19" i="3"/>
  <c r="D19" i="3" s="1"/>
  <c r="F18" i="3"/>
  <c r="G16" i="3"/>
  <c r="G15" i="3"/>
  <c r="G13" i="3"/>
  <c r="D13" i="3"/>
  <c r="D10" i="3" s="1"/>
  <c r="G12" i="3"/>
  <c r="E12" i="3"/>
  <c r="G11" i="3"/>
  <c r="E11" i="3" s="1"/>
  <c r="F10" i="3"/>
  <c r="F14" i="3" s="1"/>
  <c r="F17" i="3" s="1"/>
  <c r="F27" i="3" s="1"/>
  <c r="F43" i="3" s="1"/>
  <c r="F46" i="3" s="1"/>
  <c r="G9" i="3"/>
  <c r="D9" i="3" s="1"/>
  <c r="E9" i="3" s="1"/>
  <c r="G8" i="3"/>
  <c r="G147" i="2"/>
  <c r="E147" i="2" s="1"/>
  <c r="D147" i="2"/>
  <c r="G146" i="2"/>
  <c r="D146" i="2"/>
  <c r="G144" i="2"/>
  <c r="E144" i="2" s="1"/>
  <c r="D144" i="2"/>
  <c r="F143" i="2"/>
  <c r="G142" i="2"/>
  <c r="D142" i="2" s="1"/>
  <c r="G141" i="2"/>
  <c r="E141" i="2"/>
  <c r="D141" i="2"/>
  <c r="G140" i="2"/>
  <c r="D140" i="2"/>
  <c r="G139" i="2"/>
  <c r="E139" i="2" s="1"/>
  <c r="D139" i="2"/>
  <c r="G138" i="2"/>
  <c r="E138" i="2" s="1"/>
  <c r="D138" i="2"/>
  <c r="G137" i="2"/>
  <c r="D137" i="2"/>
  <c r="E137" i="2" s="1"/>
  <c r="G136" i="2"/>
  <c r="D136" i="2"/>
  <c r="G135" i="2"/>
  <c r="D135" i="2" s="1"/>
  <c r="D134" i="2" s="1"/>
  <c r="E135" i="2"/>
  <c r="E134" i="2" s="1"/>
  <c r="G133" i="2"/>
  <c r="D133" i="2"/>
  <c r="G132" i="2"/>
  <c r="D132" i="2"/>
  <c r="G131" i="2"/>
  <c r="D131" i="2"/>
  <c r="F130" i="2"/>
  <c r="F124" i="2" s="1"/>
  <c r="G129" i="2"/>
  <c r="E129" i="2" s="1"/>
  <c r="D129" i="2"/>
  <c r="G128" i="2"/>
  <c r="E128" i="2" s="1"/>
  <c r="D128" i="2"/>
  <c r="D126" i="2" s="1"/>
  <c r="E126" i="2" s="1"/>
  <c r="E127" i="2"/>
  <c r="G123" i="2"/>
  <c r="D123" i="2"/>
  <c r="E123" i="2" s="1"/>
  <c r="G122" i="2"/>
  <c r="D122" i="2"/>
  <c r="G121" i="2"/>
  <c r="E121" i="2" s="1"/>
  <c r="D121" i="2"/>
  <c r="G120" i="2"/>
  <c r="D120" i="2"/>
  <c r="G118" i="2"/>
  <c r="E118" i="2" s="1"/>
  <c r="D118" i="2"/>
  <c r="G117" i="2"/>
  <c r="D117" i="2"/>
  <c r="E117" i="2" s="1"/>
  <c r="G116" i="2"/>
  <c r="E116" i="2" s="1"/>
  <c r="D116" i="2"/>
  <c r="G115" i="2"/>
  <c r="D115" i="2"/>
  <c r="G114" i="2"/>
  <c r="D114" i="2"/>
  <c r="F113" i="2"/>
  <c r="G112" i="2"/>
  <c r="E112" i="2"/>
  <c r="D112" i="2"/>
  <c r="G111" i="2"/>
  <c r="G110" i="2" s="1"/>
  <c r="D111" i="2"/>
  <c r="F110" i="2"/>
  <c r="F105" i="2" s="1"/>
  <c r="G109" i="2"/>
  <c r="D109" i="2"/>
  <c r="D107" i="2" s="1"/>
  <c r="G108" i="2"/>
  <c r="G107" i="2" s="1"/>
  <c r="G106" i="2"/>
  <c r="E106" i="2" s="1"/>
  <c r="D106" i="2"/>
  <c r="G103" i="2"/>
  <c r="E103" i="2" s="1"/>
  <c r="D103" i="2"/>
  <c r="G102" i="2"/>
  <c r="D102" i="2"/>
  <c r="G101" i="2"/>
  <c r="D101" i="2"/>
  <c r="G100" i="2"/>
  <c r="E100" i="2"/>
  <c r="D100" i="2"/>
  <c r="G99" i="2"/>
  <c r="E99" i="2" s="1"/>
  <c r="D99" i="2"/>
  <c r="G98" i="2"/>
  <c r="E98" i="2" s="1"/>
  <c r="D98" i="2"/>
  <c r="G97" i="2"/>
  <c r="D97" i="2"/>
  <c r="G96" i="2"/>
  <c r="E96" i="2" s="1"/>
  <c r="D96" i="2"/>
  <c r="G95" i="2"/>
  <c r="E95" i="2" s="1"/>
  <c r="E94" i="2" s="1"/>
  <c r="D95" i="2"/>
  <c r="F94" i="2"/>
  <c r="G93" i="2"/>
  <c r="D93" i="2"/>
  <c r="E89" i="2"/>
  <c r="E88" i="2"/>
  <c r="G87" i="2"/>
  <c r="E87" i="2"/>
  <c r="D87" i="2"/>
  <c r="E86" i="2"/>
  <c r="E85" i="2"/>
  <c r="G84" i="2"/>
  <c r="E84" i="2"/>
  <c r="D84" i="2"/>
  <c r="G83" i="2"/>
  <c r="E83" i="2"/>
  <c r="E82" i="2" s="1"/>
  <c r="D83" i="2"/>
  <c r="D82" i="2" s="1"/>
  <c r="D79" i="2" s="1"/>
  <c r="D78" i="2" s="1"/>
  <c r="G81" i="2"/>
  <c r="E81" i="2" s="1"/>
  <c r="G80" i="2"/>
  <c r="E80" i="2" s="1"/>
  <c r="E77" i="2"/>
  <c r="G76" i="2"/>
  <c r="E76" i="2"/>
  <c r="D76" i="2"/>
  <c r="G75" i="2"/>
  <c r="E75" i="2"/>
  <c r="D75" i="2"/>
  <c r="E74" i="2"/>
  <c r="G73" i="2"/>
  <c r="G72" i="2" s="1"/>
  <c r="E73" i="2"/>
  <c r="E70" i="2"/>
  <c r="E69" i="2"/>
  <c r="E68" i="2"/>
  <c r="E67" i="2"/>
  <c r="E66" i="2"/>
  <c r="G65" i="2"/>
  <c r="E64" i="2"/>
  <c r="G62" i="2"/>
  <c r="E62" i="2" s="1"/>
  <c r="D62" i="2"/>
  <c r="D61" i="2" s="1"/>
  <c r="G61" i="2"/>
  <c r="D59" i="2"/>
  <c r="G59" i="2" s="1"/>
  <c r="D58" i="2"/>
  <c r="D57" i="2"/>
  <c r="G57" i="2" s="1"/>
  <c r="D56" i="2"/>
  <c r="G56" i="2" s="1"/>
  <c r="G53" i="2"/>
  <c r="D53" i="2"/>
  <c r="G52" i="2"/>
  <c r="E52" i="2"/>
  <c r="E50" i="2"/>
  <c r="E49" i="2"/>
  <c r="E48" i="2"/>
  <c r="E47" i="2"/>
  <c r="G46" i="2"/>
  <c r="E46" i="2" s="1"/>
  <c r="D45" i="2"/>
  <c r="E44" i="2"/>
  <c r="E43" i="2"/>
  <c r="E42" i="2"/>
  <c r="G40" i="2"/>
  <c r="E40" i="2" s="1"/>
  <c r="E38" i="2"/>
  <c r="E37" i="2"/>
  <c r="G36" i="2"/>
  <c r="F36" i="2"/>
  <c r="D36" i="2"/>
  <c r="E36" i="2" s="1"/>
  <c r="D35" i="2"/>
  <c r="G35" i="2" s="1"/>
  <c r="G32" i="2" s="1"/>
  <c r="E34" i="2"/>
  <c r="E33" i="2"/>
  <c r="F32" i="2"/>
  <c r="D32" i="2"/>
  <c r="E31" i="2"/>
  <c r="D30" i="2"/>
  <c r="G30" i="2" s="1"/>
  <c r="E30" i="2" s="1"/>
  <c r="D29" i="2"/>
  <c r="G29" i="2" s="1"/>
  <c r="E29" i="2" s="1"/>
  <c r="G28" i="2"/>
  <c r="E28" i="2" s="1"/>
  <c r="D28" i="2"/>
  <c r="D27" i="2"/>
  <c r="G27" i="2" s="1"/>
  <c r="E27" i="2" s="1"/>
  <c r="D26" i="2"/>
  <c r="G26" i="2" s="1"/>
  <c r="G25" i="2"/>
  <c r="E25" i="2" s="1"/>
  <c r="F24" i="2"/>
  <c r="F23" i="2"/>
  <c r="F17" i="2" s="1"/>
  <c r="F90" i="2" s="1"/>
  <c r="E22" i="2"/>
  <c r="E21" i="2"/>
  <c r="D21" i="2"/>
  <c r="E20" i="2"/>
  <c r="E19" i="2"/>
  <c r="F18" i="2"/>
  <c r="D18" i="2"/>
  <c r="E52" i="1"/>
  <c r="E51" i="1"/>
  <c r="B51" i="1"/>
  <c r="E50" i="1"/>
  <c r="B50" i="1"/>
  <c r="B48" i="1" s="1"/>
  <c r="E49" i="1"/>
  <c r="B49" i="1"/>
  <c r="D48" i="1"/>
  <c r="D38" i="1" s="1"/>
  <c r="C48" i="1"/>
  <c r="E47" i="1"/>
  <c r="E46" i="1"/>
  <c r="D45" i="1"/>
  <c r="C45" i="1"/>
  <c r="B45" i="1"/>
  <c r="E44" i="1"/>
  <c r="C43" i="1"/>
  <c r="B43" i="1" s="1"/>
  <c r="B42" i="1"/>
  <c r="E42" i="1" s="1"/>
  <c r="E41" i="1"/>
  <c r="B40" i="1"/>
  <c r="E40" i="1" s="1"/>
  <c r="D39" i="1"/>
  <c r="E37" i="1"/>
  <c r="E36" i="1"/>
  <c r="C34" i="1"/>
  <c r="C26" i="1"/>
  <c r="E26" i="1" s="1"/>
  <c r="C25" i="1"/>
  <c r="E24" i="1"/>
  <c r="B24" i="1"/>
  <c r="E23" i="1"/>
  <c r="D22" i="1"/>
  <c r="B22" i="1"/>
  <c r="E21" i="1"/>
  <c r="E20" i="1"/>
  <c r="B19" i="1"/>
  <c r="E19" i="1" s="1"/>
  <c r="E18" i="1"/>
  <c r="B17" i="1"/>
  <c r="C17" i="1" s="1"/>
  <c r="E17" i="1" s="1"/>
  <c r="E16" i="1"/>
  <c r="D15" i="1"/>
  <c r="C15" i="1"/>
  <c r="D14" i="1"/>
  <c r="D29" i="1" s="1"/>
  <c r="C14" i="1" l="1"/>
  <c r="D55" i="2"/>
  <c r="C22" i="1"/>
  <c r="E22" i="1" s="1"/>
  <c r="E32" i="2"/>
  <c r="G71" i="2"/>
  <c r="E140" i="2"/>
  <c r="E13" i="3"/>
  <c r="E10" i="3" s="1"/>
  <c r="E45" i="3"/>
  <c r="B14" i="1"/>
  <c r="E25" i="1"/>
  <c r="G6" i="3"/>
  <c r="E132" i="2"/>
  <c r="C43" i="11"/>
  <c r="E18" i="2"/>
  <c r="C8" i="16"/>
  <c r="D15" i="17"/>
  <c r="E115" i="2"/>
  <c r="E131" i="2"/>
  <c r="E136" i="2"/>
  <c r="E146" i="2"/>
  <c r="I29" i="5"/>
  <c r="D110" i="2"/>
  <c r="D12" i="5"/>
  <c r="D17" i="5" s="1"/>
  <c r="D40" i="5" s="1"/>
  <c r="D41" i="5" s="1"/>
  <c r="F38" i="5"/>
  <c r="I23" i="5"/>
  <c r="H13" i="11"/>
  <c r="H16" i="11"/>
  <c r="G42" i="11"/>
  <c r="B28" i="14"/>
  <c r="B30" i="14" s="1"/>
  <c r="C48" i="11"/>
  <c r="G40" i="5"/>
  <c r="G41" i="5" s="1"/>
  <c r="E12" i="11"/>
  <c r="C20" i="16"/>
  <c r="C19" i="16" s="1"/>
  <c r="F17" i="5"/>
  <c r="F40" i="5" s="1"/>
  <c r="F41" i="5" s="1"/>
  <c r="H10" i="5"/>
  <c r="H8" i="5" s="1"/>
  <c r="H17" i="5" s="1"/>
  <c r="H40" i="5" s="1"/>
  <c r="H41" i="5" s="1"/>
  <c r="E38" i="5"/>
  <c r="I25" i="5"/>
  <c r="D25" i="19"/>
  <c r="F12" i="11"/>
  <c r="F11" i="11" s="1"/>
  <c r="G11" i="11"/>
  <c r="G18" i="11" s="1"/>
  <c r="D31" i="11"/>
  <c r="D25" i="11" s="1"/>
  <c r="D48" i="11"/>
  <c r="E17" i="11"/>
  <c r="E33" i="11"/>
  <c r="E41" i="11"/>
  <c r="G41" i="11" s="1"/>
  <c r="D36" i="11"/>
  <c r="D11" i="11"/>
  <c r="D18" i="11" s="1"/>
  <c r="H17" i="11"/>
  <c r="E35" i="11"/>
  <c r="G43" i="11"/>
  <c r="E22" i="11"/>
  <c r="E24" i="11"/>
  <c r="E32" i="11"/>
  <c r="G58" i="2"/>
  <c r="D73" i="2"/>
  <c r="D72" i="2" s="1"/>
  <c r="D71" i="2" s="1"/>
  <c r="E107" i="2"/>
  <c r="D119" i="2"/>
  <c r="D113" i="2" s="1"/>
  <c r="D8" i="16"/>
  <c r="D14" i="16" s="1"/>
  <c r="D7" i="19"/>
  <c r="D12" i="19" s="1"/>
  <c r="C12" i="19"/>
  <c r="G82" i="2"/>
  <c r="G79" i="2" s="1"/>
  <c r="G78" i="2" s="1"/>
  <c r="E122" i="2"/>
  <c r="E130" i="2"/>
  <c r="E133" i="2"/>
  <c r="G10" i="3"/>
  <c r="C5" i="16"/>
  <c r="C20" i="19"/>
  <c r="C25" i="19" s="1"/>
  <c r="E37" i="3"/>
  <c r="E21" i="3"/>
  <c r="G28" i="3"/>
  <c r="G55" i="2"/>
  <c r="E55" i="2" s="1"/>
  <c r="E97" i="2"/>
  <c r="F104" i="2"/>
  <c r="E114" i="2"/>
  <c r="G119" i="2"/>
  <c r="G134" i="2"/>
  <c r="E142" i="2"/>
  <c r="G60" i="2"/>
  <c r="G21" i="2"/>
  <c r="G18" i="2" s="1"/>
  <c r="D52" i="2"/>
  <c r="D51" i="2" s="1"/>
  <c r="D94" i="2"/>
  <c r="G145" i="2"/>
  <c r="G143" i="2" s="1"/>
  <c r="D145" i="2"/>
  <c r="D143" i="2" s="1"/>
  <c r="G45" i="2"/>
  <c r="E45" i="2" s="1"/>
  <c r="D105" i="2"/>
  <c r="D125" i="2"/>
  <c r="E125" i="2" s="1"/>
  <c r="D130" i="2"/>
  <c r="B29" i="1"/>
  <c r="E15" i="1"/>
  <c r="E14" i="1" s="1"/>
  <c r="E45" i="1"/>
  <c r="E48" i="1"/>
  <c r="B16" i="18"/>
  <c r="B29" i="18"/>
  <c r="C29" i="18"/>
  <c r="B22" i="18"/>
  <c r="I8" i="4"/>
  <c r="C28" i="4"/>
  <c r="C30" i="4" s="1"/>
  <c r="G23" i="4"/>
  <c r="G28" i="4" s="1"/>
  <c r="E19" i="4"/>
  <c r="E30" i="4" s="1"/>
  <c r="I22" i="4"/>
  <c r="F28" i="4"/>
  <c r="F30" i="4" s="1"/>
  <c r="I25" i="4"/>
  <c r="I21" i="4"/>
  <c r="H28" i="4"/>
  <c r="H30" i="4" s="1"/>
  <c r="E28" i="4"/>
  <c r="F5" i="14"/>
  <c r="F13" i="14"/>
  <c r="F26" i="14"/>
  <c r="D15" i="14"/>
  <c r="D17" i="14" s="1"/>
  <c r="B7" i="14"/>
  <c r="B17" i="14" s="1"/>
  <c r="E28" i="14"/>
  <c r="E30" i="14" s="1"/>
  <c r="F25" i="14"/>
  <c r="C31" i="18"/>
  <c r="C19" i="17"/>
  <c r="C18" i="17" s="1"/>
  <c r="C24" i="17" s="1"/>
  <c r="C15" i="17"/>
  <c r="C25" i="15"/>
  <c r="C19" i="15" s="1"/>
  <c r="C30" i="15" s="1"/>
  <c r="F40" i="15"/>
  <c r="F42" i="15" s="1"/>
  <c r="F43" i="15"/>
  <c r="E40" i="15"/>
  <c r="E42" i="15" s="1"/>
  <c r="F15" i="14"/>
  <c r="F17" i="14" s="1"/>
  <c r="F22" i="14"/>
  <c r="F24" i="14" s="1"/>
  <c r="C7" i="12"/>
  <c r="D20" i="12"/>
  <c r="C12" i="12"/>
  <c r="C20" i="12" s="1"/>
  <c r="E7" i="11"/>
  <c r="E13" i="11"/>
  <c r="C31" i="11"/>
  <c r="G40" i="11"/>
  <c r="H6" i="11"/>
  <c r="E6" i="11"/>
  <c r="C11" i="11"/>
  <c r="D23" i="10"/>
  <c r="G23" i="7"/>
  <c r="E29" i="7"/>
  <c r="D14" i="7"/>
  <c r="F29" i="7"/>
  <c r="C14" i="7"/>
  <c r="G20" i="7"/>
  <c r="C29" i="7"/>
  <c r="D29" i="7"/>
  <c r="G19" i="7"/>
  <c r="G7" i="7"/>
  <c r="E6" i="7"/>
  <c r="G10" i="7"/>
  <c r="E9" i="7"/>
  <c r="G9" i="7" s="1"/>
  <c r="G5" i="7"/>
  <c r="I38" i="5"/>
  <c r="I39" i="5"/>
  <c r="I10" i="5"/>
  <c r="E12" i="5"/>
  <c r="E17" i="5" s="1"/>
  <c r="I24" i="5"/>
  <c r="C38" i="5"/>
  <c r="C40" i="5" s="1"/>
  <c r="D28" i="4"/>
  <c r="D30" i="4" s="1"/>
  <c r="I9" i="4"/>
  <c r="G19" i="4"/>
  <c r="I12" i="4"/>
  <c r="G29" i="4"/>
  <c r="I29" i="4" s="1"/>
  <c r="D8" i="3"/>
  <c r="D6" i="3" s="1"/>
  <c r="D14" i="3" s="1"/>
  <c r="D16" i="3"/>
  <c r="E16" i="3" s="1"/>
  <c r="D20" i="3"/>
  <c r="E20" i="3" s="1"/>
  <c r="D23" i="3"/>
  <c r="D29" i="3"/>
  <c r="E29" i="3" s="1"/>
  <c r="D32" i="3"/>
  <c r="E32" i="3" s="1"/>
  <c r="D15" i="3"/>
  <c r="E15" i="3" s="1"/>
  <c r="G18" i="3"/>
  <c r="D35" i="3"/>
  <c r="E35" i="3" s="1"/>
  <c r="G23" i="3"/>
  <c r="E79" i="2"/>
  <c r="E78" i="2" s="1"/>
  <c r="F148" i="2"/>
  <c r="G24" i="2"/>
  <c r="E26" i="2"/>
  <c r="D60" i="2"/>
  <c r="D54" i="2" s="1"/>
  <c r="D24" i="2"/>
  <c r="D23" i="2" s="1"/>
  <c r="D17" i="2" s="1"/>
  <c r="G51" i="2"/>
  <c r="E51" i="2" s="1"/>
  <c r="E61" i="2"/>
  <c r="E72" i="2"/>
  <c r="E71" i="2" s="1"/>
  <c r="G94" i="2"/>
  <c r="E111" i="2"/>
  <c r="E110" i="2" s="1"/>
  <c r="E105" i="2" s="1"/>
  <c r="E120" i="2"/>
  <c r="G130" i="2"/>
  <c r="G124" i="2" s="1"/>
  <c r="D36" i="1"/>
  <c r="D34" i="1" s="1"/>
  <c r="D53" i="1" s="1"/>
  <c r="B39" i="1"/>
  <c r="E43" i="1"/>
  <c r="C39" i="1"/>
  <c r="C38" i="1" s="1"/>
  <c r="C53" i="1" s="1"/>
  <c r="C29" i="1" l="1"/>
  <c r="E29" i="1"/>
  <c r="G14" i="3"/>
  <c r="G17" i="3" s="1"/>
  <c r="G54" i="2"/>
  <c r="C14" i="16"/>
  <c r="I8" i="5"/>
  <c r="E124" i="2"/>
  <c r="B31" i="18"/>
  <c r="E48" i="11"/>
  <c r="E40" i="5"/>
  <c r="E41" i="5" s="1"/>
  <c r="H11" i="11"/>
  <c r="H18" i="11" s="1"/>
  <c r="H12" i="11"/>
  <c r="I12" i="5"/>
  <c r="E11" i="11"/>
  <c r="E18" i="11" s="1"/>
  <c r="G48" i="11"/>
  <c r="F28" i="14"/>
  <c r="F30" i="14" s="1"/>
  <c r="E119" i="2"/>
  <c r="D17" i="3"/>
  <c r="E145" i="2"/>
  <c r="E143" i="2" s="1"/>
  <c r="G113" i="2"/>
  <c r="E113" i="2" s="1"/>
  <c r="E60" i="2"/>
  <c r="E54" i="2" s="1"/>
  <c r="D124" i="2"/>
  <c r="D104" i="2" s="1"/>
  <c r="D148" i="2" s="1"/>
  <c r="I23" i="4"/>
  <c r="I28" i="4" s="1"/>
  <c r="G30" i="4"/>
  <c r="I30" i="4" s="1"/>
  <c r="I19" i="4"/>
  <c r="F7" i="14"/>
  <c r="C18" i="11"/>
  <c r="E31" i="11"/>
  <c r="C25" i="11"/>
  <c r="F18" i="11"/>
  <c r="E14" i="7"/>
  <c r="G14" i="7" s="1"/>
  <c r="G29" i="7"/>
  <c r="G6" i="7"/>
  <c r="C41" i="5"/>
  <c r="D28" i="3"/>
  <c r="G27" i="3"/>
  <c r="G43" i="3" s="1"/>
  <c r="G46" i="3" s="1"/>
  <c r="D18" i="3"/>
  <c r="E6" i="3"/>
  <c r="E14" i="3" s="1"/>
  <c r="E17" i="3" s="1"/>
  <c r="E27" i="3" s="1"/>
  <c r="E43" i="3" s="1"/>
  <c r="E46" i="3" s="1"/>
  <c r="E8" i="3"/>
  <c r="G105" i="2"/>
  <c r="G104" i="2" s="1"/>
  <c r="G148" i="2" s="1"/>
  <c r="E24" i="2"/>
  <c r="G23" i="2"/>
  <c r="D90" i="2"/>
  <c r="B38" i="1"/>
  <c r="E39" i="1"/>
  <c r="D27" i="3" l="1"/>
  <c r="D43" i="3" s="1"/>
  <c r="D46" i="3" s="1"/>
  <c r="I17" i="5"/>
  <c r="I40" i="5"/>
  <c r="E104" i="2"/>
  <c r="E148" i="2" s="1"/>
  <c r="E25" i="11"/>
  <c r="C36" i="11"/>
  <c r="E36" i="11" s="1"/>
  <c r="E23" i="2"/>
  <c r="E17" i="2" s="1"/>
  <c r="E90" i="2" s="1"/>
  <c r="G17" i="2"/>
  <c r="G90" i="2" s="1"/>
  <c r="E38" i="1"/>
  <c r="B35" i="1" l="1"/>
  <c r="E35" i="1" l="1"/>
  <c r="B34" i="1"/>
  <c r="E34" i="1" l="1"/>
  <c r="E53" i="1" s="1"/>
  <c r="B53" i="1"/>
</calcChain>
</file>

<file path=xl/sharedStrings.xml><?xml version="1.0" encoding="utf-8"?>
<sst xmlns="http://schemas.openxmlformats.org/spreadsheetml/2006/main" count="1120" uniqueCount="547">
  <si>
    <t>Nota Nr 1</t>
  </si>
  <si>
    <t xml:space="preserve">Korekta błędu bilansu na dzień 1 stycznia 2019 wg MSR/MSSF na 1 stycznia 2019 wg UoR korekty prezentacyjne </t>
  </si>
  <si>
    <t>Uzgodnienie kapitałów własnych i aktywów na dzień 1 stycznia 2019 roku zgodnie z MSSF i ustawą o rachunkowości zostały zaprezentowane poniżej.</t>
  </si>
  <si>
    <r>
      <t xml:space="preserve"> Korekta nr 1</t>
    </r>
    <r>
      <rPr>
        <sz val="10"/>
        <rFont val="Times New Roman CE"/>
        <charset val="238"/>
      </rPr>
      <t xml:space="preserve"> dotyczy błędu z lat ubiegłych spowodowanego wycofaniem części składników aportu z użytkowania z powodu przestarzałej technologii.</t>
    </r>
  </si>
  <si>
    <t xml:space="preserve">Zgodnie z MSR/MSSF prezentowano aktywo z tytułu prawa do użytkowania w wysokości 13 720 669,05 PLN z czego długoterminowe zobowiązania z tytułu leasingu wynosiły 10 073 534,50 PLN, a krótkoterminowe 3 647 134,55 PLN. </t>
  </si>
  <si>
    <r>
      <t xml:space="preserve"> Korekta nr 3 </t>
    </r>
    <r>
      <rPr>
        <sz val="10"/>
        <rFont val="Times New Roman CE"/>
        <charset val="238"/>
      </rPr>
      <t>to błąd wynikający z lat ubiegłych - aktywo z tytułu podatku odroczonego wyliczony od błędnej kwoty</t>
    </r>
  </si>
  <si>
    <r>
      <t xml:space="preserve"> Korekta  nr 4 </t>
    </r>
    <r>
      <rPr>
        <sz val="10"/>
        <rFont val="Times New Roman CE"/>
        <charset val="238"/>
      </rPr>
      <t>dotyczy zmiany prezentacji środków pieniężnych na rachunku bankowym ZFŚS.</t>
    </r>
  </si>
  <si>
    <t>Bilans</t>
  </si>
  <si>
    <t>Aktywa</t>
  </si>
  <si>
    <t>Tytuł</t>
  </si>
  <si>
    <t>Stan na dzień
01.01.2019 r. wg MSR/MSSF</t>
  </si>
  <si>
    <t>Korekty z przekształcenia</t>
  </si>
  <si>
    <t>Korekty błędu</t>
  </si>
  <si>
    <t>Stan na dzień
01.01.2019 r. wg UoR</t>
  </si>
  <si>
    <t>AKTYWA TRWAŁE</t>
  </si>
  <si>
    <t>Wartości niematerialne i prawne</t>
  </si>
  <si>
    <t>Rzeczowe aktywa trwałe</t>
  </si>
  <si>
    <t>Aktywo z tytułu prawa do użytkowania</t>
  </si>
  <si>
    <t>Należności długoterminowe</t>
  </si>
  <si>
    <t>Inwestycje długoterminowe</t>
  </si>
  <si>
    <t>Pozostałe aktywa długoterminowe</t>
  </si>
  <si>
    <t>Aktywa z tytułu podatku odroczonego</t>
  </si>
  <si>
    <t>AKTYWA OBROTOWE</t>
  </si>
  <si>
    <t>Zapasy</t>
  </si>
  <si>
    <t>Należności z tytułu dostaw i usług i pozostałe należności</t>
  </si>
  <si>
    <t>Środki pieniężne i ich ekwiwalenty</t>
  </si>
  <si>
    <t>Krótkoterminowe rozliczenia międzyokresowe</t>
  </si>
  <si>
    <t>Należne wpłaty na kapitały (fundusz podstawowy)</t>
  </si>
  <si>
    <t>Udział (akcje) własne</t>
  </si>
  <si>
    <t xml:space="preserve"> AKTYWA RAZEM</t>
  </si>
  <si>
    <t>Pasywa</t>
  </si>
  <si>
    <t>KAPITAŁ (FUNDUSZ) WŁASNY</t>
  </si>
  <si>
    <t>Kapitał (fundusz) podstawowy</t>
  </si>
  <si>
    <t>Zysk (strata) z lat ubiegłych</t>
  </si>
  <si>
    <t>Zysk (strata) netto</t>
  </si>
  <si>
    <t>ZOBOWIĄZANIA I REZERWY NA ZOBOWIĄZANIA</t>
  </si>
  <si>
    <t>Zobowiązania długoterminowe</t>
  </si>
  <si>
    <t>Długoterminowe zobowiązania z tytułu leasingu</t>
  </si>
  <si>
    <t>Długoterminowa rezerwa na świadczenia emerytalne i podobne</t>
  </si>
  <si>
    <t>Długoterminowe inne rozliczenia międzyokresowe</t>
  </si>
  <si>
    <t>Rezerwa z tytułu podatku odroczonego</t>
  </si>
  <si>
    <t>Pozostałe zobowiązania długoterminowe</t>
  </si>
  <si>
    <t>Krótkoterminowe pozostałe rezerwy</t>
  </si>
  <si>
    <t>Pozstałe rezrwy</t>
  </si>
  <si>
    <t>Rezerwy z tytułu świadczeń pracowniczych</t>
  </si>
  <si>
    <t>Zobowiązania krótkoterminowe</t>
  </si>
  <si>
    <t>Zobowiązania z tytułyu dostaw i usług i pozostałe zobowiązania</t>
  </si>
  <si>
    <t>Zobowiązania z tytułu leasingu</t>
  </si>
  <si>
    <t>Krótkoterminowe inne rozliczenia międzyokresowe</t>
  </si>
  <si>
    <t>Pozostałe zobowiązania niefinansowe</t>
  </si>
  <si>
    <t xml:space="preserve"> PASYWA RAZEM</t>
  </si>
  <si>
    <t>Nota Nr 2</t>
  </si>
  <si>
    <t>Korekta błędu i przejście z MSR/MSSF na UOR na dzień 31 grudnia 2019 roku</t>
  </si>
  <si>
    <t>Uzgodnienie kapitałów własnych i aktywów na dzień 31 grudnia 2019 roku zgodnie z MSSF i ustawą o rachunkowości zostały zaprezentowane poniżej.</t>
  </si>
  <si>
    <t>Zgodnie z MSR/MSSF prezentowano aktywo z tytułu prawa do użytkowania w wysokości 13 031 063,71 PLN z czego długoterminowe zobowiązania z tytułu leasingu wynosiły 11 901 706,99 PLN, a krótkoterminowe 1 435 411,98 PLN, natomiast kwota 306 055,26 PLN wpłynęła na wynik roku 2019.</t>
  </si>
  <si>
    <r>
      <t xml:space="preserve"> Korekta  nr 3 </t>
    </r>
    <r>
      <rPr>
        <sz val="10"/>
        <rFont val="Times New Roman CE"/>
        <charset val="238"/>
      </rPr>
      <t>dotyczy zmiany prezentacji środków pieniężnych na rachunku bankowym ZFŚS.</t>
    </r>
  </si>
  <si>
    <t>Lp.</t>
  </si>
  <si>
    <t>Numer korekty</t>
  </si>
  <si>
    <t>Stan na dzień
31.12.2019 r. wg MSR/MSSF</t>
  </si>
  <si>
    <t>Korekta prezentacyjna</t>
  </si>
  <si>
    <t>Korekta błędu</t>
  </si>
  <si>
    <t>Stan na dzień
31.12.2019 r. wg UoR</t>
  </si>
  <si>
    <t>A</t>
  </si>
  <si>
    <t>I</t>
  </si>
  <si>
    <t>1</t>
  </si>
  <si>
    <t>Koszty zakończonych prac rozwojowych</t>
  </si>
  <si>
    <t>2</t>
  </si>
  <si>
    <t>Wartość firmy</t>
  </si>
  <si>
    <t>3</t>
  </si>
  <si>
    <t>Inne wartości niematerialne i prawne</t>
  </si>
  <si>
    <t>4</t>
  </si>
  <si>
    <t>Zaliczki na wartości niematerialne i prawne</t>
  </si>
  <si>
    <t>II</t>
  </si>
  <si>
    <t>Środki trwałe</t>
  </si>
  <si>
    <t>a</t>
  </si>
  <si>
    <t>grunty (w tym prawo użytkowania wieczystego gruntu)</t>
  </si>
  <si>
    <t>b</t>
  </si>
  <si>
    <t xml:space="preserve">budynki, lokale i obiekty inżynierii lądowej i wodnej </t>
  </si>
  <si>
    <t>c</t>
  </si>
  <si>
    <t>urządzenia techniczne i maszyny</t>
  </si>
  <si>
    <t>d</t>
  </si>
  <si>
    <t>środki transportu</t>
  </si>
  <si>
    <t>e</t>
  </si>
  <si>
    <t>inne środki trwałe</t>
  </si>
  <si>
    <t>Środki trwałe w budowie</t>
  </si>
  <si>
    <t>Zaliczki na środki trwałe w budowie</t>
  </si>
  <si>
    <t>III</t>
  </si>
  <si>
    <t>Od jednostek powiązanych</t>
  </si>
  <si>
    <t>Od pozostałych jednostek, w których jednostka posiada zaangażowanie w kapitale</t>
  </si>
  <si>
    <t>Od jednostek pozostałych</t>
  </si>
  <si>
    <t>IV</t>
  </si>
  <si>
    <t>Nieruchomości</t>
  </si>
  <si>
    <t>Długoterminowe aktywa finansowe</t>
  </si>
  <si>
    <t>w jednostkach powiązanych</t>
  </si>
  <si>
    <t>- udziały lub akcje</t>
  </si>
  <si>
    <t>- inne papiery wartościowe</t>
  </si>
  <si>
    <t>- udzielone pożyczki</t>
  </si>
  <si>
    <t>- inne długoterminowe aktywa finansowe</t>
  </si>
  <si>
    <t>w pozostałych jednostkach, w których jednostka posiada zaangażowanie w kapitale</t>
  </si>
  <si>
    <t xml:space="preserve">w pozostałych jednostkach </t>
  </si>
  <si>
    <t>Inne inwestycje długoterminowe</t>
  </si>
  <si>
    <t>V</t>
  </si>
  <si>
    <t>Długoterminowe rozliczenia międzyokresowe</t>
  </si>
  <si>
    <t>Aktywa z tytułu odroczonego podatku dochodowego</t>
  </si>
  <si>
    <t>Inne rozliczenia międzyokresowe</t>
  </si>
  <si>
    <t>B</t>
  </si>
  <si>
    <t>Materiały</t>
  </si>
  <si>
    <t>Półprodukty i produkty w toku</t>
  </si>
  <si>
    <t>Towary</t>
  </si>
  <si>
    <t>Zaliczki na dostawy</t>
  </si>
  <si>
    <t>Należności krótkoterminowe</t>
  </si>
  <si>
    <t>Należności od jednostek powiązanych</t>
  </si>
  <si>
    <t>z tytułu dostaw i usług, o okresie spłaty:</t>
  </si>
  <si>
    <t>- do 12 miesięcy</t>
  </si>
  <si>
    <t>- powyżej 12 miesięcy</t>
  </si>
  <si>
    <t>inne</t>
  </si>
  <si>
    <t>Należności od pozostałych jednostek, w których jednostka posiada zaangażowanie w kapitale</t>
  </si>
  <si>
    <t>Należności od pozostałych jednostek</t>
  </si>
  <si>
    <t>z tytułu podatków, dotacji, ceł, ubezpieczeń społecznych i zdrowotnych oraz innych świadczeń</t>
  </si>
  <si>
    <t>dochodzone na drodze sądowej</t>
  </si>
  <si>
    <t>Inwestycje krótkoterminowe</t>
  </si>
  <si>
    <t>Krótkoterminowe aktywa finansowe</t>
  </si>
  <si>
    <t>w pozostałych jednostkach</t>
  </si>
  <si>
    <t>środki pieniężne i inne aktywa pieniężne</t>
  </si>
  <si>
    <t>- środki pieniężne w kasie i na rachunkach</t>
  </si>
  <si>
    <t>- inne środki pieniężne</t>
  </si>
  <si>
    <t>- inne aktywa pieniężne</t>
  </si>
  <si>
    <t>Inne inwestycje krótkoterminowe</t>
  </si>
  <si>
    <t>C</t>
  </si>
  <si>
    <t>D</t>
  </si>
  <si>
    <t>Należne wpłaty na kapitał podstawowy (wielkość ujemna)</t>
  </si>
  <si>
    <t>Udziały (akcje) własne (wielkość ujemna)</t>
  </si>
  <si>
    <t>Kapitał (fundusz) zapasowy</t>
  </si>
  <si>
    <t>Kapitał (fundusz) z aktualizacji wyceny</t>
  </si>
  <si>
    <t>VI</t>
  </si>
  <si>
    <t>Pozostałe kapitały (fundusze) rezerwowe</t>
  </si>
  <si>
    <t>VII</t>
  </si>
  <si>
    <t>VIII</t>
  </si>
  <si>
    <t>IX</t>
  </si>
  <si>
    <t>Odpisy z zysku netto w ciągu roku obrotowego (wielkość ujemna)</t>
  </si>
  <si>
    <t>Rezerwy na zobowiązania</t>
  </si>
  <si>
    <t>Rezerwa z tytułu odroczonego podatku dochodowego</t>
  </si>
  <si>
    <t>Rezerwa na świadczenia emerytalne i podobne</t>
  </si>
  <si>
    <t xml:space="preserve">- długoterminowa </t>
  </si>
  <si>
    <t>- krótkoterminowa</t>
  </si>
  <si>
    <t>Pozostałe rezerwy</t>
  </si>
  <si>
    <t>- długoterminowe</t>
  </si>
  <si>
    <t>- krótkoterminowe</t>
  </si>
  <si>
    <t>Wobec jednostek powiązanych</t>
  </si>
  <si>
    <t>kredyty i pożyczki</t>
  </si>
  <si>
    <t>z tytułu emisji dłużnych papierów wartościowych</t>
  </si>
  <si>
    <t>inne zobowiązania finansowe</t>
  </si>
  <si>
    <t>Wobec pozostałych jednostek</t>
  </si>
  <si>
    <t>z tytułu dostaw i usług, o okresie wymagalności:</t>
  </si>
  <si>
    <t>zaliczki otrzymane na dostawy</t>
  </si>
  <si>
    <t>f</t>
  </si>
  <si>
    <t>zobowiązania wekslowe</t>
  </si>
  <si>
    <t>g</t>
  </si>
  <si>
    <t>z tytułu podatków, ceł, ubezpieczeń i innych świadczeń</t>
  </si>
  <si>
    <t>h</t>
  </si>
  <si>
    <t>z tytułu wynagrodzeń</t>
  </si>
  <si>
    <t>i</t>
  </si>
  <si>
    <t>Fundusze specjalne</t>
  </si>
  <si>
    <t>Rozliczenia międzyokresowe</t>
  </si>
  <si>
    <t>Ujemna wartość firmy</t>
  </si>
  <si>
    <t>Rachunek zysków i strat - wersja kalkulacyjna</t>
  </si>
  <si>
    <r>
      <t xml:space="preserve">  </t>
    </r>
    <r>
      <rPr>
        <b/>
        <sz val="10"/>
        <rFont val="Times New Roman CE"/>
        <charset val="238"/>
      </rPr>
      <t xml:space="preserve"> Korekta nr 1 </t>
    </r>
    <r>
      <rPr>
        <sz val="10"/>
        <rFont val="Times New Roman CE"/>
        <charset val="238"/>
      </rPr>
      <t>dotyczy zmiany podejścia z MSSF 16 na ustawę o rachunkowości powstałej w wyniku nadwyżki amortyzacji w kwocie 306 055,26 PLN  nad dodanymi opłatami z tytułu usług obcych w wysokości 658 433,25 PLN. Korekta błędu z lat ubiegłych w kwocie  983 000,00 PLN dotyczy wycofania części składników aportu z użytkowania z powodu przestarzałej technologii.</t>
    </r>
  </si>
  <si>
    <t>Rok zakończony 31 grudnia 2019 wg MSR/MSSF</t>
  </si>
  <si>
    <t>Rok zakończony 31 grudnia 2019 wg UoR</t>
  </si>
  <si>
    <t>Przychody netto ze sprzedaży produktów, towarów i materiałów, w tym:</t>
  </si>
  <si>
    <t>-</t>
  </si>
  <si>
    <t>od jednostek powiązanych</t>
  </si>
  <si>
    <t>przychody netto ze sprzedaży produktów</t>
  </si>
  <si>
    <t>przychody netto ze sprzedaży towarów i materiałów</t>
  </si>
  <si>
    <t>Koszty sprzedanych produktów, towarów i materiałów, w tym:</t>
  </si>
  <si>
    <t>jednostkom powiązanym</t>
  </si>
  <si>
    <t>Koszt wytworzenia sprzedanych produktów</t>
  </si>
  <si>
    <t>Wartość sprzedanych towarów i materiałów</t>
  </si>
  <si>
    <t>Zysk (strata) brutto ze sprzedaży (A-B)</t>
  </si>
  <si>
    <t>Koszty sprzedaży</t>
  </si>
  <si>
    <t>E</t>
  </si>
  <si>
    <t>Koszty ogólnego zarządu</t>
  </si>
  <si>
    <t>F</t>
  </si>
  <si>
    <t>Zysk (strata) ze sprzedaży (C-D-E)</t>
  </si>
  <si>
    <t>G</t>
  </si>
  <si>
    <t>Pozostałe przychody operacyjne</t>
  </si>
  <si>
    <t>Zysk ze zbycia niefinansowych aktywów trwałych</t>
  </si>
  <si>
    <t>Dotacje</t>
  </si>
  <si>
    <t>Aktualizacja wartości aktywów niefinansowych</t>
  </si>
  <si>
    <t>Inne przychody operacyjne</t>
  </si>
  <si>
    <t>H</t>
  </si>
  <si>
    <t>Pozostałe koszty operacyjne</t>
  </si>
  <si>
    <t>Strata ze zbycia niefinansowych aktywów trwałych</t>
  </si>
  <si>
    <t>Inne koszty operacyjne</t>
  </si>
  <si>
    <t>Zysk (strata) z działalności operacyjnej (F+G-H)</t>
  </si>
  <si>
    <t>J</t>
  </si>
  <si>
    <t>Przychody finansowe</t>
  </si>
  <si>
    <t>Dywidendy i udziały w zyskach, w tym:</t>
  </si>
  <si>
    <t>Odsetki, w tym:</t>
  </si>
  <si>
    <t>Zysk z z tytułu rozchodu aktywów finansowych, w tym:</t>
  </si>
  <si>
    <t xml:space="preserve">w jednostkach powiązanych </t>
  </si>
  <si>
    <t xml:space="preserve">Aktualizacja wartości aktywów finansowych </t>
  </si>
  <si>
    <t>Inne</t>
  </si>
  <si>
    <t>K</t>
  </si>
  <si>
    <t>Koszty finansowe</t>
  </si>
  <si>
    <t>dla jednostek powiązanych</t>
  </si>
  <si>
    <t>Strata ze zbycia inwestycji</t>
  </si>
  <si>
    <t>Aktualizacja wartości inwestycji</t>
  </si>
  <si>
    <t>L</t>
  </si>
  <si>
    <t>Zysk (strata) z działalności gospodarczej (I+J-K)</t>
  </si>
  <si>
    <t>M</t>
  </si>
  <si>
    <t>Podatek dochodowy</t>
  </si>
  <si>
    <t>N</t>
  </si>
  <si>
    <t>Pozostałe obowiązkowe zmniejszenie zysku (zwiększenia straty)</t>
  </si>
  <si>
    <t>O</t>
  </si>
  <si>
    <r>
      <t>Zysk (strata) netto (R</t>
    </r>
    <r>
      <rPr>
        <b/>
        <sz val="10"/>
        <rFont val="Times New Roman CE"/>
        <charset val="238"/>
      </rPr>
      <t>-S-T)</t>
    </r>
  </si>
  <si>
    <t>Nota Nr 3</t>
  </si>
  <si>
    <t>Zmiany w stanie wartości niematerialnych i prawnych od 1.01.2020 r. do 31.12.2020 r.</t>
  </si>
  <si>
    <t>Oprogramowania</t>
  </si>
  <si>
    <t>Licencje i patenty, oprogramowanie</t>
  </si>
  <si>
    <t>Wartości niematerialne i prawne nieoodane do użytkowania</t>
  </si>
  <si>
    <t xml:space="preserve"> 
Razem
</t>
  </si>
  <si>
    <t>Wartość brutto</t>
  </si>
  <si>
    <t>Bilans otwarcia</t>
  </si>
  <si>
    <t>Korekta PSR</t>
  </si>
  <si>
    <t>Zwiększenia</t>
  </si>
  <si>
    <t>zakup</t>
  </si>
  <si>
    <t>z rozliczenia środków trwałych w budowie</t>
  </si>
  <si>
    <t>darowizna</t>
  </si>
  <si>
    <t>aport</t>
  </si>
  <si>
    <t>przemieszczenie wewnętrzne</t>
  </si>
  <si>
    <t>Zmniejszenia</t>
  </si>
  <si>
    <t>sprzedaż</t>
  </si>
  <si>
    <t>likwidacja</t>
  </si>
  <si>
    <t>5</t>
  </si>
  <si>
    <t>Bilans zamknięcia</t>
  </si>
  <si>
    <t>Umorzenie</t>
  </si>
  <si>
    <t>6</t>
  </si>
  <si>
    <t>7</t>
  </si>
  <si>
    <t>8</t>
  </si>
  <si>
    <t>amortyzacja za okres</t>
  </si>
  <si>
    <t>trwała utrata wartości</t>
  </si>
  <si>
    <t>9</t>
  </si>
  <si>
    <t>10</t>
  </si>
  <si>
    <t>11</t>
  </si>
  <si>
    <t>Wartość netto na początek okresu</t>
  </si>
  <si>
    <t>12</t>
  </si>
  <si>
    <t>Wartość netto na koniec okresu</t>
  </si>
  <si>
    <t>Nota Nr 4</t>
  </si>
  <si>
    <t>Zmiany w stanie środków trwałych od 1.01.2020r. do 31.12.2020r.</t>
  </si>
  <si>
    <t>Grunty (w tym prawo wieczystego użytkowania gruntów)</t>
  </si>
  <si>
    <t>Budynki, lokale i obiekty inżynierii lądowej i wodnej</t>
  </si>
  <si>
    <t>Urządzenia
techniczne
i maszyny</t>
  </si>
  <si>
    <t>Środki
transportu</t>
  </si>
  <si>
    <t>Inne środki trwałe</t>
  </si>
  <si>
    <t>Razem</t>
  </si>
  <si>
    <t>aktualizacja wyceny</t>
  </si>
  <si>
    <t>przyjęcie ze środków trwałych w budowie</t>
  </si>
  <si>
    <t>zakup środków trwałych</t>
  </si>
  <si>
    <t>pozostałe</t>
  </si>
  <si>
    <t>Skumulowana amortyzacja (umorzenie)</t>
  </si>
  <si>
    <t>przemieszczenia wewnętrzne</t>
  </si>
  <si>
    <t>darowizny przekazane</t>
  </si>
  <si>
    <t>przemieszenia wewnętrzne</t>
  </si>
  <si>
    <t>W związku z wystąpieniem przesłanek dotyczących zmniejszenia wartości netto środków trwałych w budowie GK Exatel dokonała odpisu aktualizującego w wysokości 2 664 296,97 PLN, który zneutralizuje utratę gwarancji wynikającej z przestarzałej technologii urządzeń.</t>
  </si>
  <si>
    <t>Wartość gruntów użytkowanych wieczyście</t>
  </si>
  <si>
    <t>Wartość netto gruntów użytkowanych wieczyście na dzień 31 grudnia 2020 roku wynosiła 6 267 709,69 PLN, a na dzień 31 grudnia 2019 roku 6 361 033,57 PLN.</t>
  </si>
  <si>
    <t>Wartość środków trwałych nieamortyzowanych przez jednostkę, używanych na podstawie umów najmu, dzierżawy i innych umów o podobnym charakterze</t>
  </si>
  <si>
    <t>Nota Nr 5</t>
  </si>
  <si>
    <t>Zmiany w stanie należności długoterminowych w okresie od 1.01.2020 r. do 31.12.2020 r.</t>
  </si>
  <si>
    <t>Wartość brutto należności długoterminowych</t>
  </si>
  <si>
    <t>powstanie należności</t>
  </si>
  <si>
    <t xml:space="preserve">zapłacone pozostałe należności </t>
  </si>
  <si>
    <t>Nota Nr 6</t>
  </si>
  <si>
    <t>Zmiany w stanie inwestycji długoterminowych aktywów finasowych od 01.01.2020 r. do 31.12.2020 r.</t>
  </si>
  <si>
    <t>Wartości niematerialne   
i prawne</t>
  </si>
  <si>
    <t>Razem inwestycje długoterminowe</t>
  </si>
  <si>
    <t>zakup/udzielenie pożyczki</t>
  </si>
  <si>
    <t>odwrócenie trwałej utraty wartości</t>
  </si>
  <si>
    <t>Zmiana stanu długoterminowych aktywów finansowych od 1.01.2019 r. do 31.12.2019 r.</t>
  </si>
  <si>
    <t>Udziały i akcje</t>
  </si>
  <si>
    <t>Inne papiery
wartościowe</t>
  </si>
  <si>
    <t>Udzielone pożyczki</t>
  </si>
  <si>
    <t>Inne długoterminowe aktywa finansowe</t>
  </si>
  <si>
    <t>spłata pożyczki</t>
  </si>
  <si>
    <t xml:space="preserve">Skład Grupy Kapitałowej Exatel </t>
  </si>
  <si>
    <t>Nazwa Jednostki</t>
  </si>
  <si>
    <t>Siedziba</t>
  </si>
  <si>
    <t>Udział w kapitale na dzień 31 grudnia 2020</t>
  </si>
  <si>
    <t>Udział w kapitale na dzień 31 grudnia 2019</t>
  </si>
  <si>
    <t>1.</t>
  </si>
  <si>
    <t>Exatel SA</t>
  </si>
  <si>
    <t>Warszawa,                 ul. Perkuna 47</t>
  </si>
  <si>
    <t>Jednostka dominująca</t>
  </si>
  <si>
    <t>2.</t>
  </si>
  <si>
    <t>Energo-Tel S.A.</t>
  </si>
  <si>
    <t>Warszawa,                 ul. Kosmatki 8</t>
  </si>
  <si>
    <t>Nota Nr 7</t>
  </si>
  <si>
    <t xml:space="preserve">Krótkoterminowe aktywa finansowe </t>
  </si>
  <si>
    <t>Rodzaj instrumentu finansowego</t>
  </si>
  <si>
    <t>Stan na dzień 31.12.2020 r.</t>
  </si>
  <si>
    <t>Stan na dzień 31.12.2019 r.</t>
  </si>
  <si>
    <t>Aktywa przeznaczone do obrotu</t>
  </si>
  <si>
    <t xml:space="preserve">2. </t>
  </si>
  <si>
    <t>Pożyczki udzielone i należności własne</t>
  </si>
  <si>
    <t>3.</t>
  </si>
  <si>
    <t>Aktywa utrzymywane do terminu wymagalności</t>
  </si>
  <si>
    <t>4.</t>
  </si>
  <si>
    <t>Aktywa dostępne do sprzedaży</t>
  </si>
  <si>
    <t>5.</t>
  </si>
  <si>
    <t>Środki pieniężne</t>
  </si>
  <si>
    <t>a.</t>
  </si>
  <si>
    <t>rachunek bankowy podstawowy</t>
  </si>
  <si>
    <t>rachunek ZFŚS</t>
  </si>
  <si>
    <t>rachunek bankowy VAT</t>
  </si>
  <si>
    <t>inne środki pieniężne</t>
  </si>
  <si>
    <t>Nota Nr 8</t>
  </si>
  <si>
    <t>Zapasy według okresów zalegania na 31.12.2020r.</t>
  </si>
  <si>
    <t>Okres zalegania w dniach</t>
  </si>
  <si>
    <t>Rodzaj zapasu  (w wartości brutto)</t>
  </si>
  <si>
    <t>Produkty gotowe</t>
  </si>
  <si>
    <t>0 - 90</t>
  </si>
  <si>
    <t>90 - 180</t>
  </si>
  <si>
    <t>180 - 360</t>
  </si>
  <si>
    <t>powyżej 360</t>
  </si>
  <si>
    <t>RAZEM w wartości brutto</t>
  </si>
  <si>
    <t>odpisy aktualizujące  (wartość ujemna)</t>
  </si>
  <si>
    <t>RAZEM wartość bilansowa</t>
  </si>
  <si>
    <t>Zmiany w stanie odpisów aktualizujących wartość zapasów magazynowych w okresie od 01.01.2020 r. do 31.12.2020 r.</t>
  </si>
  <si>
    <t xml:space="preserve">Odpis aktualizujący wartość zapasów magazynowych </t>
  </si>
  <si>
    <t>Zwiekszenia</t>
  </si>
  <si>
    <t>utworzenie odpisó aktualizujących</t>
  </si>
  <si>
    <t>rozwiązanie odpisów</t>
  </si>
  <si>
    <t>Nota Nr 9</t>
  </si>
  <si>
    <t>Stan na 31.12.2020 r.</t>
  </si>
  <si>
    <t>Stan na 31.12.2019 r.</t>
  </si>
  <si>
    <t>wartość brutto</t>
  </si>
  <si>
    <t>odpisy aktualizujące</t>
  </si>
  <si>
    <t>wartość netto</t>
  </si>
  <si>
    <t>Należności od jednostek powiązanych, z tego:</t>
  </si>
  <si>
    <t>z tytułu dostaw i usług, w tym o okresie spłaty:</t>
  </si>
  <si>
    <t>-do 12 miesięcy</t>
  </si>
  <si>
    <t>-powyżej 12 miesięcy</t>
  </si>
  <si>
    <t>Należności od pozostałych jednostek, z tego:</t>
  </si>
  <si>
    <t xml:space="preserve">z tytułu podatków, dotacji, ceł, ubezpieczeń społecznych i zdrowotnych oraz innych świadczeń </t>
  </si>
  <si>
    <t>RAZEM</t>
  </si>
  <si>
    <t>Należności z tytułu dostaw i usług brutto według wieku</t>
  </si>
  <si>
    <t>Wiek w dniach</t>
  </si>
  <si>
    <t>Ogółem w wartości brutto</t>
  </si>
  <si>
    <t>Odpisy aktualizujące</t>
  </si>
  <si>
    <t>Ogółem w wartości netto</t>
  </si>
  <si>
    <t>bieżące, z tego :</t>
  </si>
  <si>
    <t>od pozostałych jednostek</t>
  </si>
  <si>
    <t>przeterminowane, z tego :</t>
  </si>
  <si>
    <t>do 90 dni</t>
  </si>
  <si>
    <t>90-180</t>
  </si>
  <si>
    <t>180-360</t>
  </si>
  <si>
    <t>Zmiany w stanie odpisów aktualizujących należności krótkoterminowe w okresie od 1.01.2020 r. do 31.12.2020 r.
(wg tytułów należności)</t>
  </si>
  <si>
    <t>Odpisy aktualizujące
należności z tytułu
dostaw i usług</t>
  </si>
  <si>
    <t>w tym od jednostek powiązanych</t>
  </si>
  <si>
    <t>Odpisy aktualizujące należności pozostałe</t>
  </si>
  <si>
    <t>Razem odpisy aktualizujące należności krótkoterminowe</t>
  </si>
  <si>
    <t>utworzenia odpisów aktualizujących w ciężar pozostałych kosztów operacyjnych</t>
  </si>
  <si>
    <t>przesunięcia miedzy należnościami</t>
  </si>
  <si>
    <t>rozwiązanie odpisów aktualizujących odniesionych w pozostałe przychody operacyjne</t>
  </si>
  <si>
    <t>rozwiązanie odpisów aktualizujących odniesione w przychody finansowe</t>
  </si>
  <si>
    <t>wykorzystanie odpisów (spisanie należności z odpisem)</t>
  </si>
  <si>
    <t>Nota Nr 10</t>
  </si>
  <si>
    <t>Inne rozliczenia międzyokresowe długoterminowe</t>
  </si>
  <si>
    <t>Dzierżawa wlókien, kanalizacji gruntu</t>
  </si>
  <si>
    <t>Pozostałe rozliczenia międzyokresowe</t>
  </si>
  <si>
    <t>Czynne rozliczenia międzyokresowe kosztów</t>
  </si>
  <si>
    <t>ubezpieczenia</t>
  </si>
  <si>
    <t>dzierżawa kanalizacji, łączy, gruntu</t>
  </si>
  <si>
    <t>remonty, konserwacja</t>
  </si>
  <si>
    <t>usługi informatyczne, doradcze, instalacyjne</t>
  </si>
  <si>
    <t>niezafakturowane przychody</t>
  </si>
  <si>
    <t>Nota Nr 11</t>
  </si>
  <si>
    <t>Dane o strukturze własności kapitału podstawowego</t>
  </si>
  <si>
    <t>KAPITAŁ AKCYJNY (ZAKŁADOWY)</t>
  </si>
  <si>
    <t>Wartość nominalna jednej akcji (udziału) = 69,00 zł</t>
  </si>
  <si>
    <t>Seria/ emisja</t>
  </si>
  <si>
    <t>Rodzaj akcji (udziałów)</t>
  </si>
  <si>
    <t>Liczba akcji (udziałów)</t>
  </si>
  <si>
    <t>Wartość serii/emisji wg wartości nominalnej</t>
  </si>
  <si>
    <t>uprzywilejowane</t>
  </si>
  <si>
    <t>zwykłe</t>
  </si>
  <si>
    <t>Liczba akcji (udziałów) razem</t>
  </si>
  <si>
    <t>Kapitał razem</t>
  </si>
  <si>
    <t>Struktura własnościowa kapitału i procent posiadanych akcji (udziałów)</t>
  </si>
  <si>
    <t>Akcjonariusz / Udziałowiec</t>
  </si>
  <si>
    <t>Wartość akcji/ udziałów</t>
  </si>
  <si>
    <t>Udział % w kapitale zakładowym</t>
  </si>
  <si>
    <t>Udział % w liczbie głosów</t>
  </si>
  <si>
    <t>Ministerstwo Aktywów Państwowych</t>
  </si>
  <si>
    <t>Nota Nr 12</t>
  </si>
  <si>
    <t xml:space="preserve">Proponowany podział wyniku finansowego </t>
  </si>
  <si>
    <t>Wartość</t>
  </si>
  <si>
    <t>wynik finansowy za 2020 rok</t>
  </si>
  <si>
    <t>podział:</t>
  </si>
  <si>
    <t>Zarząd Spółki proponuje przeznaczyć wypracowany zysk na pokrycie strat za lata ubiegłe</t>
  </si>
  <si>
    <t>wynik nie podzielony</t>
  </si>
  <si>
    <t>Nota Nr 13</t>
  </si>
  <si>
    <t>Zmiany w stanie rezerw na świadczenia emerytalne i podobne</t>
  </si>
  <si>
    <t>Rezrwy na odprawy emerytalne i rentowe</t>
  </si>
  <si>
    <t>Rezerwa na premię i nadgodziny, ZUS</t>
  </si>
  <si>
    <t>Rezerwa na niewykorzystany urlop</t>
  </si>
  <si>
    <t>Rezerwa na świadczenia po okresie zatrudnienia</t>
  </si>
  <si>
    <t>Krótkoterminowe na dzień 31 grudnia 2019</t>
  </si>
  <si>
    <t>Długoterminowe na dzień 31 grudnia 2019</t>
  </si>
  <si>
    <t xml:space="preserve">Stan na dzień 31 grudnia 2019 </t>
  </si>
  <si>
    <t>Koszty bieżącego zatrudnienia</t>
  </si>
  <si>
    <t>Zyski i straty aktuarialne</t>
  </si>
  <si>
    <t>Wypłacone świadczenia</t>
  </si>
  <si>
    <t>Koszty stopy dyskontowej</t>
  </si>
  <si>
    <t>Koszty odsetek</t>
  </si>
  <si>
    <t>Utworzenie</t>
  </si>
  <si>
    <t>Rozwiązanie</t>
  </si>
  <si>
    <t>Krótkoterminowe na dzień 31 grudnia 2020</t>
  </si>
  <si>
    <t>Długoterminowe na dzień 31 grudnia 2020</t>
  </si>
  <si>
    <t>Zmiany w stanie pozostałych rezerw</t>
  </si>
  <si>
    <t>Rezerwa na koszty badania sprawozdania finansowego</t>
  </si>
  <si>
    <t>Rezerwa na koszty sądowe</t>
  </si>
  <si>
    <t>Rezerwa z tytułu usługi powszechnej</t>
  </si>
  <si>
    <t xml:space="preserve">Utworzenie </t>
  </si>
  <si>
    <t>Wykorzystanie</t>
  </si>
  <si>
    <t>Nota Nr 14</t>
  </si>
  <si>
    <t>Zobowiązania długoterminowe, o pozostałym od dnia  bilansowego przewidywanym umową okresie spłaty</t>
  </si>
  <si>
    <t>Tytuł według pozycji bilansu</t>
  </si>
  <si>
    <t>Stan na 31.12.2020</t>
  </si>
  <si>
    <t>Stan na 31.12.2019</t>
  </si>
  <si>
    <t>do 1 roku*)</t>
  </si>
  <si>
    <t>1 rok - 3 lata</t>
  </si>
  <si>
    <t>3 - 5 lat</t>
  </si>
  <si>
    <t>powyżej 5 lat</t>
  </si>
  <si>
    <t>inne zobowiązania finansowe, w tym z tytułu leasingu finansowego</t>
  </si>
  <si>
    <t>*) zobowiązania do 1 roku zostały przez Spółkę wykazane w grupie zobowiązań krótkoterminowych</t>
  </si>
  <si>
    <t>Zobowiązania z tytułu dostaw i usług według okresu przeterminowania</t>
  </si>
  <si>
    <t>Stan na
31.12.2020 r.</t>
  </si>
  <si>
    <t>wobec jednostek powiązanych</t>
  </si>
  <si>
    <t>wobec pozostałych jednostek</t>
  </si>
  <si>
    <t xml:space="preserve">   do 90 dni</t>
  </si>
  <si>
    <t xml:space="preserve">   180-360</t>
  </si>
  <si>
    <t xml:space="preserve">  powyżej 360</t>
  </si>
  <si>
    <t xml:space="preserve">  do 90 dni</t>
  </si>
  <si>
    <t xml:space="preserve">   90-180</t>
  </si>
  <si>
    <t xml:space="preserve">   powyżej 360</t>
  </si>
  <si>
    <t>Zobowiązania z tytułu leasingu finansowego</t>
  </si>
  <si>
    <t>płatne w okresie:</t>
  </si>
  <si>
    <t>wartość nominalna minimalnych opłat leasingowych</t>
  </si>
  <si>
    <t>wartość bieżąca minimalnych opłat leasingowych</t>
  </si>
  <si>
    <t>do jednego roku</t>
  </si>
  <si>
    <t>od roku do 3 lat</t>
  </si>
  <si>
    <t>od 3 lat do 5 lat</t>
  </si>
  <si>
    <t>Przyszły koszt odsetkowy (wartość ujemna)</t>
  </si>
  <si>
    <t>nie dotyczy</t>
  </si>
  <si>
    <t>Razem wartość bieżąca minimalnych opłat leasingowych, 
z tego:</t>
  </si>
  <si>
    <t>zobowiązania krótkoterminowe</t>
  </si>
  <si>
    <t>zobowiązania długoterminowe</t>
  </si>
  <si>
    <t>Zobowiązania finansowe</t>
  </si>
  <si>
    <t>Tytuł nie występuje.</t>
  </si>
  <si>
    <t>Nota Nr 15</t>
  </si>
  <si>
    <t>Instrumenty finansowe zabezpieczajace</t>
  </si>
  <si>
    <t>Nota Nr 16</t>
  </si>
  <si>
    <t>Stan na
31.12.2019 r.</t>
  </si>
  <si>
    <t>Długoterminowe</t>
  </si>
  <si>
    <t>przyszłe przychody z dzierżawy łączy</t>
  </si>
  <si>
    <t>przychdy z usług bezpieczeństa</t>
  </si>
  <si>
    <t>Krótkoterminowe</t>
  </si>
  <si>
    <t>przychody z usług bezpieczeństwa</t>
  </si>
  <si>
    <t>przychody z dzierżawy</t>
  </si>
  <si>
    <t xml:space="preserve">przychody z tytułu usług głosowych </t>
  </si>
  <si>
    <t>pozostałe rozliczenia międzyokresowe przychodów</t>
  </si>
  <si>
    <t>dotacje</t>
  </si>
  <si>
    <t>Zobowiązania warunkowe</t>
  </si>
  <si>
    <t xml:space="preserve">Rodzaj zobowiązania </t>
  </si>
  <si>
    <t>Zobowiązania warunkowe ogółem:</t>
  </si>
  <si>
    <t>gwarancji</t>
  </si>
  <si>
    <t>Nota Nr 17</t>
  </si>
  <si>
    <t>Przychody netto ze sprzedaży produktów, towarów i materiałów - struktura rzeczowa</t>
  </si>
  <si>
    <t>1.01.-31.12.2020 r.</t>
  </si>
  <si>
    <t>1.01.-31.12.2019 r.</t>
  </si>
  <si>
    <t>Przychody netto ze sprzedaży produktów (struktura rzeczowa - rodzaje działalności), w tym:</t>
  </si>
  <si>
    <t xml:space="preserve">Dzierżawa łączy </t>
  </si>
  <si>
    <t>Usługi głosowe</t>
  </si>
  <si>
    <t>Transmisja danych</t>
  </si>
  <si>
    <t>Usługi internetowe</t>
  </si>
  <si>
    <t>Usługi bezpieczeństwa</t>
  </si>
  <si>
    <t>Usługi serwisu i wsparcia</t>
  </si>
  <si>
    <t xml:space="preserve">Inne </t>
  </si>
  <si>
    <t>Przychody netto ze sprzedaży towarów i materiałów (struktura rzeczowa - rodzaje działalności), w tym:</t>
  </si>
  <si>
    <t>materiały</t>
  </si>
  <si>
    <t>Przychody netto ze sprzedaży produktów</t>
  </si>
  <si>
    <t>kraj</t>
  </si>
  <si>
    <t>eksport</t>
  </si>
  <si>
    <t>Przychody netto ze sprzedaży towarów i materiałów</t>
  </si>
  <si>
    <t>Nota Nr 18</t>
  </si>
  <si>
    <t>Koszty w układzie rodzajowym</t>
  </si>
  <si>
    <t>Rok zakończony 31 grudnia 2020</t>
  </si>
  <si>
    <t>Rok zakończony 31 grudnia 2019</t>
  </si>
  <si>
    <t>Amortyzacja</t>
  </si>
  <si>
    <t>Zużycie materiałów</t>
  </si>
  <si>
    <t>Zużycie energii</t>
  </si>
  <si>
    <t>Pozostałe</t>
  </si>
  <si>
    <t>Razem zużycie materiałów i energii</t>
  </si>
  <si>
    <t>Rozliczenia międzyoperatorskie</t>
  </si>
  <si>
    <t>Dzierżawa włókien, łączy, kanalizacji, gruntu, prawo drogi</t>
  </si>
  <si>
    <t>Usługi doradcze i obsługa prawna</t>
  </si>
  <si>
    <t>Razem usługi obce</t>
  </si>
  <si>
    <t>Podatki i opłaty</t>
  </si>
  <si>
    <t>Wynagrodzenia</t>
  </si>
  <si>
    <t>Koszty ubezpieczeń społecznych</t>
  </si>
  <si>
    <t>Koszty świadczeń emerytalnych</t>
  </si>
  <si>
    <t>Pozostałe koszty świadczeń pracowniczych</t>
  </si>
  <si>
    <t>Razem koszty świadczen pracowniczych</t>
  </si>
  <si>
    <t>Podróże służbowe</t>
  </si>
  <si>
    <t>Ubezpieczenia majątkowe</t>
  </si>
  <si>
    <t>Inne ubezpieczenia</t>
  </si>
  <si>
    <t>Pozostałe koszty związane z utrzymaniem samochodów</t>
  </si>
  <si>
    <t>Koszty reklamy</t>
  </si>
  <si>
    <t>Pozostałe koszty rodzajowe</t>
  </si>
  <si>
    <t>Razem pozostałe koszty rodzajowe</t>
  </si>
  <si>
    <t>Ogółem koszty działalności operacyjnej</t>
  </si>
  <si>
    <t>Pozycje ujęte w koszcie własnym sprzedaży</t>
  </si>
  <si>
    <t>Pozycje ujęte w kosztach sprzedaży</t>
  </si>
  <si>
    <t>Pozycje ujęte w kosztach ogólnego zarządu</t>
  </si>
  <si>
    <t>Zmiana stanu produktów</t>
  </si>
  <si>
    <t>Koszt wytworzenia świadczeń na własne potrzeby jednostki</t>
  </si>
  <si>
    <t>Nota Nr 19</t>
  </si>
  <si>
    <t>Pozostałe przychody operacyjne, w tym:</t>
  </si>
  <si>
    <t>kary, grzywny, odszkodowania</t>
  </si>
  <si>
    <t>Odwrócenie odpisów aktualizujących należności</t>
  </si>
  <si>
    <t>zwrot podatku od nieruchomości</t>
  </si>
  <si>
    <t>pozostałe przychody operacyjne</t>
  </si>
  <si>
    <t>Nota Nr 20</t>
  </si>
  <si>
    <t>Pozostałe koszty operacyjne, w tym:</t>
  </si>
  <si>
    <t>kary i odszkodowania, odprawy</t>
  </si>
  <si>
    <t>koszty postępowania sądowego</t>
  </si>
  <si>
    <t>utworzenie rezerw</t>
  </si>
  <si>
    <t>pozostałe koszty operacyjne</t>
  </si>
  <si>
    <r>
      <rPr>
        <b/>
        <sz val="10"/>
        <rFont val="Times New Roman CE"/>
        <charset val="238"/>
      </rPr>
      <t xml:space="preserve">Korekta nr 2 </t>
    </r>
    <r>
      <rPr>
        <sz val="10"/>
        <rFont val="Times New Roman CE"/>
        <charset val="238"/>
      </rPr>
      <t>dotyczy zmiany prezentacji zgodnie z ustawą o rachunkowości wartości niematerialnych i prawnych zakupionego prawa wieczystego do użytkowania gruntów o wartości netto 6 361 033,57 PLN, natomiast zgodnie z podejściem MSR/MSSF był to element wyceny aktywa z tytułu prawa do użytkowania.</t>
    </r>
  </si>
  <si>
    <r>
      <rPr>
        <b/>
        <sz val="10"/>
        <rFont val="Times New Roman CE"/>
        <charset val="238"/>
      </rPr>
      <t xml:space="preserve">Korekta nr 1 </t>
    </r>
    <r>
      <rPr>
        <sz val="10"/>
        <rFont val="Times New Roman CE"/>
        <charset val="238"/>
      </rPr>
      <t>dotyczy zmiany prezentacji zgodnie z ustawą o rachunkowości zakupionego prawa wieczystego do użytkowania gruntów o wartości netto 6 361 033,57 PLN, natomiast zgodnie z podejściem MSR/MSSF był to element wyceny aktywa z tytułu prawa do użytkowania.</t>
    </r>
  </si>
  <si>
    <r>
      <t xml:space="preserve">Korekta nr 2 </t>
    </r>
    <r>
      <rPr>
        <sz val="10"/>
        <rFont val="Times New Roman CE"/>
        <charset val="238"/>
      </rPr>
      <t>zgodnie z ustawą o rachunkowości prezentuje aktywo z tytułu podatku odroczonego w wysokości 25 509 633,00 PLN, natomiast zgodnie z MSR/MSSF aktywo jest znetowanane z rezerwą z tytułu podatku odroczonego w kwocie 32 483,00 PLN.</t>
    </r>
  </si>
  <si>
    <r>
      <t xml:space="preserve"> Korekta  nr 4 </t>
    </r>
    <r>
      <rPr>
        <sz val="10"/>
        <rFont val="Times New Roman CE"/>
        <charset val="238"/>
      </rPr>
      <t>dotyczy zmiany prezentacji pozostałych rezerw krótkoterminowych w wysokości 125 660,00 PLN</t>
    </r>
  </si>
  <si>
    <r>
      <t xml:space="preserve"> Korekta  nr 5 </t>
    </r>
    <r>
      <rPr>
        <sz val="10"/>
        <rFont val="Times New Roman CE"/>
        <charset val="238"/>
      </rPr>
      <t>dotyczy krótkoterminowych rozliczeń międzyokresowych w wysokości 12 663 589,49 PKN wynika to, ze zmiany prezentacji zgodnie z ustawą o rachunkowości należności z tytułu podatku VAT.</t>
    </r>
  </si>
  <si>
    <t>Grupa Kapitałowa Exatel użytkuje na podstawie umów najmu, dzierżawy i o podobnym charakterze wiele obiektów, ale nie dysponuje informacjami o ich wartościach.</t>
  </si>
  <si>
    <t>lokaty bankowe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</si>
</sst>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;\(#,##0.00\)"/>
    <numFmt numFmtId="165" formatCode="#,##0.00_ ;\-#,##0.00\ "/>
  </numFmts>
  <fonts count="4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name val="Arial"/>
      <family val="2"/>
      <charset val="238"/>
    </font>
    <font>
      <b/>
      <i/>
      <sz val="12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10"/>
      <name val="Times New Roman CE"/>
      <charset val="238"/>
    </font>
    <font>
      <b/>
      <i/>
      <sz val="10"/>
      <name val="Times New Roman CE"/>
      <charset val="238"/>
    </font>
    <font>
      <i/>
      <sz val="10"/>
      <color rgb="FFFF0000"/>
      <name val="Arial"/>
      <family val="2"/>
      <charset val="238"/>
    </font>
    <font>
      <i/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sz val="10"/>
      <name val="Arial"/>
      <family val="2"/>
    </font>
    <font>
      <b/>
      <i/>
      <sz val="10"/>
      <name val="Times New Roman CE"/>
      <family val="1"/>
      <charset val="238"/>
    </font>
    <font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8"/>
      <color rgb="FFFF0000"/>
      <name val="Arial"/>
      <family val="2"/>
      <charset val="238"/>
    </font>
    <font>
      <b/>
      <i/>
      <sz val="8"/>
      <name val="Times New Roman CE"/>
      <family val="1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 CE"/>
    </font>
    <font>
      <b/>
      <i/>
      <sz val="10"/>
      <color theme="1"/>
      <name val="Times New Roman CE"/>
    </font>
    <font>
      <sz val="10"/>
      <color theme="1"/>
      <name val="Times New Roman CE"/>
    </font>
    <font>
      <sz val="10"/>
      <color theme="1"/>
      <name val="Times New Roman"/>
      <family val="1"/>
      <charset val="238"/>
    </font>
    <font>
      <i/>
      <sz val="10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 diagonalUp="1" diagonalDown="1">
      <left/>
      <right/>
      <top/>
      <bottom/>
      <diagonal style="hair">
        <color theme="0" tint="-4.9989318521683403E-2"/>
      </diagonal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</cellStyleXfs>
  <cellXfs count="676">
    <xf numFmtId="0" fontId="0" fillId="0" borderId="0" xfId="0"/>
    <xf numFmtId="164" fontId="4" fillId="3" borderId="0" xfId="0" applyNumberFormat="1" applyFont="1" applyFill="1" applyBorder="1" applyAlignment="1"/>
    <xf numFmtId="49" fontId="5" fillId="2" borderId="0" xfId="3" applyNumberFormat="1" applyFont="1" applyFill="1" applyBorder="1" applyAlignment="1">
      <alignment horizontal="left" vertical="center"/>
    </xf>
    <xf numFmtId="0" fontId="0" fillId="3" borderId="0" xfId="0" applyFill="1"/>
    <xf numFmtId="49" fontId="6" fillId="2" borderId="0" xfId="3" applyNumberFormat="1" applyFont="1" applyFill="1" applyBorder="1" applyAlignment="1">
      <alignment horizontal="left" vertical="top" wrapText="1"/>
    </xf>
    <xf numFmtId="164" fontId="4" fillId="3" borderId="0" xfId="0" applyNumberFormat="1" applyFont="1" applyFill="1" applyBorder="1" applyAlignment="1">
      <alignment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9" fillId="3" borderId="4" xfId="0" applyNumberFormat="1" applyFont="1" applyFill="1" applyBorder="1" applyAlignment="1">
      <alignment wrapText="1"/>
    </xf>
    <xf numFmtId="164" fontId="9" fillId="3" borderId="0" xfId="0" applyNumberFormat="1" applyFont="1" applyFill="1" applyBorder="1"/>
    <xf numFmtId="164" fontId="9" fillId="3" borderId="5" xfId="0" applyNumberFormat="1" applyFont="1" applyFill="1" applyBorder="1"/>
    <xf numFmtId="164" fontId="10" fillId="3" borderId="4" xfId="0" applyNumberFormat="1" applyFont="1" applyFill="1" applyBorder="1" applyAlignment="1">
      <alignment wrapText="1"/>
    </xf>
    <xf numFmtId="164" fontId="10" fillId="3" borderId="0" xfId="0" applyNumberFormat="1" applyFont="1" applyFill="1" applyBorder="1"/>
    <xf numFmtId="164" fontId="10" fillId="3" borderId="5" xfId="0" applyNumberFormat="1" applyFont="1" applyFill="1" applyBorder="1"/>
    <xf numFmtId="164" fontId="5" fillId="3" borderId="4" xfId="0" applyNumberFormat="1" applyFont="1" applyFill="1" applyBorder="1" applyAlignment="1">
      <alignment wrapText="1"/>
    </xf>
    <xf numFmtId="164" fontId="5" fillId="3" borderId="0" xfId="0" applyNumberFormat="1" applyFont="1" applyFill="1" applyBorder="1"/>
    <xf numFmtId="164" fontId="9" fillId="4" borderId="6" xfId="0" applyNumberFormat="1" applyFont="1" applyFill="1" applyBorder="1" applyAlignment="1">
      <alignment wrapText="1"/>
    </xf>
    <xf numFmtId="164" fontId="9" fillId="4" borderId="7" xfId="0" applyNumberFormat="1" applyFont="1" applyFill="1" applyBorder="1" applyProtection="1"/>
    <xf numFmtId="164" fontId="9" fillId="4" borderId="8" xfId="0" applyNumberFormat="1" applyFont="1" applyFill="1" applyBorder="1" applyProtection="1"/>
    <xf numFmtId="4" fontId="0" fillId="3" borderId="0" xfId="0" applyNumberFormat="1" applyFill="1"/>
    <xf numFmtId="164" fontId="12" fillId="3" borderId="0" xfId="0" applyNumberFormat="1" applyFont="1" applyFill="1" applyBorder="1" applyAlignment="1">
      <alignment wrapText="1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4" fillId="3" borderId="4" xfId="0" applyNumberFormat="1" applyFont="1" applyFill="1" applyBorder="1" applyAlignment="1">
      <alignment wrapText="1"/>
    </xf>
    <xf numFmtId="164" fontId="14" fillId="3" borderId="0" xfId="0" applyNumberFormat="1" applyFont="1" applyFill="1" applyBorder="1" applyAlignment="1"/>
    <xf numFmtId="164" fontId="14" fillId="3" borderId="5" xfId="0" applyNumberFormat="1" applyFont="1" applyFill="1" applyBorder="1" applyAlignment="1"/>
    <xf numFmtId="164" fontId="15" fillId="3" borderId="4" xfId="0" applyNumberFormat="1" applyFont="1" applyFill="1" applyBorder="1" applyAlignment="1">
      <alignment wrapText="1"/>
    </xf>
    <xf numFmtId="164" fontId="15" fillId="3" borderId="0" xfId="0" applyNumberFormat="1" applyFont="1" applyFill="1" applyBorder="1" applyAlignment="1"/>
    <xf numFmtId="164" fontId="15" fillId="3" borderId="5" xfId="0" applyNumberFormat="1" applyFont="1" applyFill="1" applyBorder="1" applyAlignment="1"/>
    <xf numFmtId="164" fontId="16" fillId="3" borderId="4" xfId="0" applyNumberFormat="1" applyFont="1" applyFill="1" applyBorder="1" applyAlignment="1">
      <alignment wrapText="1"/>
    </xf>
    <xf numFmtId="164" fontId="16" fillId="3" borderId="0" xfId="0" applyNumberFormat="1" applyFont="1" applyFill="1" applyBorder="1" applyAlignment="1"/>
    <xf numFmtId="164" fontId="17" fillId="3" borderId="4" xfId="0" applyNumberFormat="1" applyFont="1" applyFill="1" applyBorder="1" applyAlignment="1">
      <alignment wrapText="1"/>
    </xf>
    <xf numFmtId="164" fontId="17" fillId="3" borderId="0" xfId="0" applyNumberFormat="1" applyFont="1" applyFill="1" applyBorder="1" applyAlignment="1"/>
    <xf numFmtId="164" fontId="17" fillId="3" borderId="5" xfId="0" applyNumberFormat="1" applyFont="1" applyFill="1" applyBorder="1" applyAlignment="1"/>
    <xf numFmtId="164" fontId="16" fillId="3" borderId="5" xfId="0" applyNumberFormat="1" applyFont="1" applyFill="1" applyBorder="1" applyAlignment="1"/>
    <xf numFmtId="0" fontId="18" fillId="3" borderId="0" xfId="0" applyFont="1" applyFill="1"/>
    <xf numFmtId="164" fontId="16" fillId="3" borderId="4" xfId="0" quotePrefix="1" applyNumberFormat="1" applyFont="1" applyFill="1" applyBorder="1" applyAlignment="1">
      <alignment wrapText="1"/>
    </xf>
    <xf numFmtId="164" fontId="14" fillId="4" borderId="6" xfId="0" applyNumberFormat="1" applyFont="1" applyFill="1" applyBorder="1" applyAlignment="1">
      <alignment horizontal="center" wrapText="1"/>
    </xf>
    <xf numFmtId="164" fontId="14" fillId="4" borderId="7" xfId="0" applyNumberFormat="1" applyFont="1" applyFill="1" applyBorder="1" applyAlignment="1"/>
    <xf numFmtId="164" fontId="14" fillId="4" borderId="8" xfId="0" applyNumberFormat="1" applyFont="1" applyFill="1" applyBorder="1" applyAlignment="1"/>
    <xf numFmtId="49" fontId="5" fillId="2" borderId="0" xfId="3" applyNumberFormat="1" applyFont="1" applyFill="1" applyBorder="1" applyAlignment="1">
      <alignment vertical="top" wrapText="1"/>
    </xf>
    <xf numFmtId="4" fontId="19" fillId="3" borderId="0" xfId="0" applyNumberFormat="1" applyFont="1" applyFill="1"/>
    <xf numFmtId="164" fontId="7" fillId="4" borderId="1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Border="1" applyAlignment="1">
      <alignment wrapText="1"/>
    </xf>
    <xf numFmtId="0" fontId="9" fillId="3" borderId="0" xfId="0" applyNumberFormat="1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/>
    </xf>
    <xf numFmtId="164" fontId="10" fillId="3" borderId="0" xfId="0" applyNumberFormat="1" applyFont="1" applyFill="1" applyBorder="1" applyAlignment="1">
      <alignment wrapText="1"/>
    </xf>
    <xf numFmtId="49" fontId="6" fillId="3" borderId="4" xfId="0" applyNumberFormat="1" applyFont="1" applyFill="1" applyBorder="1" applyAlignment="1">
      <alignment horizontal="center" vertical="center"/>
    </xf>
    <xf numFmtId="164" fontId="6" fillId="3" borderId="0" xfId="0" applyNumberFormat="1" applyFont="1" applyFill="1" applyBorder="1" applyAlignment="1">
      <alignment wrapText="1"/>
    </xf>
    <xf numFmtId="0" fontId="6" fillId="3" borderId="0" xfId="0" applyNumberFormat="1" applyFont="1" applyFill="1" applyBorder="1" applyAlignment="1">
      <alignment horizontal="center" vertical="center" wrapText="1"/>
    </xf>
    <xf numFmtId="164" fontId="10" fillId="3" borderId="0" xfId="0" applyNumberFormat="1" applyFont="1" applyFill="1" applyBorder="1" applyProtection="1"/>
    <xf numFmtId="164" fontId="10" fillId="3" borderId="5" xfId="0" applyNumberFormat="1" applyFont="1" applyFill="1" applyBorder="1" applyProtection="1"/>
    <xf numFmtId="164" fontId="5" fillId="3" borderId="5" xfId="0" applyNumberFormat="1" applyFont="1" applyFill="1" applyBorder="1"/>
    <xf numFmtId="49" fontId="5" fillId="3" borderId="4" xfId="0" applyNumberFormat="1" applyFont="1" applyFill="1" applyBorder="1" applyAlignment="1">
      <alignment horizontal="center" vertical="center"/>
    </xf>
    <xf numFmtId="164" fontId="5" fillId="3" borderId="0" xfId="0" applyNumberFormat="1" applyFont="1" applyFill="1" applyBorder="1" applyAlignment="1">
      <alignment wrapText="1"/>
    </xf>
    <xf numFmtId="164" fontId="10" fillId="3" borderId="0" xfId="0" quotePrefix="1" applyNumberFormat="1" applyFont="1" applyFill="1" applyBorder="1" applyAlignment="1">
      <alignment wrapText="1"/>
    </xf>
    <xf numFmtId="0" fontId="9" fillId="3" borderId="0" xfId="0" quotePrefix="1" applyNumberFormat="1" applyFont="1" applyFill="1" applyBorder="1" applyAlignment="1">
      <alignment horizontal="center" vertical="center" wrapText="1"/>
    </xf>
    <xf numFmtId="49" fontId="20" fillId="3" borderId="4" xfId="0" applyNumberFormat="1" applyFont="1" applyFill="1" applyBorder="1" applyAlignment="1">
      <alignment horizontal="center" vertical="center"/>
    </xf>
    <xf numFmtId="164" fontId="20" fillId="3" borderId="0" xfId="0" quotePrefix="1" applyNumberFormat="1" applyFont="1" applyFill="1" applyBorder="1" applyAlignment="1">
      <alignment wrapText="1"/>
    </xf>
    <xf numFmtId="0" fontId="21" fillId="3" borderId="0" xfId="0" quotePrefix="1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/>
    <xf numFmtId="164" fontId="20" fillId="3" borderId="5" xfId="0" applyNumberFormat="1" applyFont="1" applyFill="1" applyBorder="1"/>
    <xf numFmtId="165" fontId="20" fillId="3" borderId="0" xfId="1" applyNumberFormat="1" applyFont="1" applyFill="1" applyBorder="1" applyAlignment="1">
      <alignment horizontal="right"/>
    </xf>
    <xf numFmtId="49" fontId="5" fillId="3" borderId="0" xfId="0" applyNumberFormat="1" applyFont="1" applyFill="1" applyBorder="1" applyAlignment="1">
      <alignment wrapText="1"/>
    </xf>
    <xf numFmtId="164" fontId="9" fillId="4" borderId="7" xfId="0" applyNumberFormat="1" applyFont="1" applyFill="1" applyBorder="1" applyAlignment="1">
      <alignment horizontal="center" wrapText="1"/>
    </xf>
    <xf numFmtId="164" fontId="13" fillId="4" borderId="1" xfId="0" applyNumberFormat="1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/>
    </xf>
    <xf numFmtId="164" fontId="14" fillId="3" borderId="0" xfId="0" applyNumberFormat="1" applyFont="1" applyFill="1" applyBorder="1" applyAlignment="1">
      <alignment wrapText="1"/>
    </xf>
    <xf numFmtId="0" fontId="14" fillId="3" borderId="0" xfId="0" applyNumberFormat="1" applyFont="1" applyFill="1" applyBorder="1" applyAlignment="1">
      <alignment horizontal="center" vertical="center" wrapText="1"/>
    </xf>
    <xf numFmtId="49" fontId="17" fillId="3" borderId="4" xfId="0" applyNumberFormat="1" applyFont="1" applyFill="1" applyBorder="1" applyAlignment="1">
      <alignment horizontal="center" vertical="center"/>
    </xf>
    <xf numFmtId="164" fontId="17" fillId="3" borderId="0" xfId="0" applyNumberFormat="1" applyFont="1" applyFill="1" applyBorder="1" applyAlignment="1">
      <alignment wrapText="1"/>
    </xf>
    <xf numFmtId="0" fontId="17" fillId="3" borderId="0" xfId="0" applyNumberFormat="1" applyFont="1" applyFill="1" applyBorder="1" applyAlignment="1">
      <alignment horizontal="center" vertical="center" wrapText="1"/>
    </xf>
    <xf numFmtId="164" fontId="16" fillId="3" borderId="0" xfId="0" quotePrefix="1" applyNumberFormat="1" applyFont="1" applyFill="1" applyBorder="1" applyAlignment="1">
      <alignment wrapText="1"/>
    </xf>
    <xf numFmtId="0" fontId="17" fillId="3" borderId="0" xfId="0" quotePrefix="1" applyNumberFormat="1" applyFont="1" applyFill="1" applyBorder="1" applyAlignment="1">
      <alignment horizontal="center" vertical="center" wrapText="1"/>
    </xf>
    <xf numFmtId="164" fontId="15" fillId="3" borderId="0" xfId="0" quotePrefix="1" applyNumberFormat="1" applyFont="1" applyFill="1" applyBorder="1" applyAlignment="1">
      <alignment wrapText="1"/>
    </xf>
    <xf numFmtId="0" fontId="14" fillId="3" borderId="0" xfId="0" quotePrefix="1" applyNumberFormat="1" applyFont="1" applyFill="1" applyBorder="1" applyAlignment="1">
      <alignment horizontal="center" vertical="center" wrapText="1"/>
    </xf>
    <xf numFmtId="49" fontId="16" fillId="3" borderId="4" xfId="0" applyNumberFormat="1" applyFont="1" applyFill="1" applyBorder="1" applyAlignment="1">
      <alignment horizontal="center" vertical="center"/>
    </xf>
    <xf numFmtId="164" fontId="16" fillId="3" borderId="0" xfId="0" applyNumberFormat="1" applyFont="1" applyFill="1" applyBorder="1" applyAlignment="1">
      <alignment wrapText="1"/>
    </xf>
    <xf numFmtId="49" fontId="15" fillId="3" borderId="4" xfId="0" applyNumberFormat="1" applyFont="1" applyFill="1" applyBorder="1" applyAlignment="1">
      <alignment horizontal="center" vertical="center"/>
    </xf>
    <xf numFmtId="164" fontId="15" fillId="3" borderId="0" xfId="0" applyNumberFormat="1" applyFont="1" applyFill="1" applyBorder="1" applyAlignment="1">
      <alignment wrapText="1"/>
    </xf>
    <xf numFmtId="49" fontId="14" fillId="4" borderId="6" xfId="0" applyNumberFormat="1" applyFont="1" applyFill="1" applyBorder="1" applyAlignment="1">
      <alignment horizontal="center" vertical="center"/>
    </xf>
    <xf numFmtId="164" fontId="14" fillId="4" borderId="7" xfId="0" applyNumberFormat="1" applyFont="1" applyFill="1" applyBorder="1" applyAlignment="1">
      <alignment horizontal="center" wrapText="1"/>
    </xf>
    <xf numFmtId="0" fontId="22" fillId="3" borderId="0" xfId="0" applyFont="1" applyFill="1"/>
    <xf numFmtId="4" fontId="23" fillId="3" borderId="0" xfId="0" applyNumberFormat="1" applyFont="1" applyFill="1"/>
    <xf numFmtId="0" fontId="24" fillId="3" borderId="0" xfId="0" applyFont="1" applyFill="1"/>
    <xf numFmtId="0" fontId="25" fillId="3" borderId="0" xfId="0" applyFont="1" applyFill="1"/>
    <xf numFmtId="164" fontId="7" fillId="4" borderId="3" xfId="0" applyNumberFormat="1" applyFont="1" applyFill="1" applyBorder="1" applyAlignment="1">
      <alignment horizontal="center" vertical="center" wrapText="1"/>
    </xf>
    <xf numFmtId="164" fontId="26" fillId="2" borderId="0" xfId="2" applyNumberFormat="1" applyFont="1" applyFill="1"/>
    <xf numFmtId="164" fontId="4" fillId="2" borderId="0" xfId="2" applyNumberFormat="1" applyFont="1" applyFill="1" applyBorder="1" applyAlignment="1">
      <alignment wrapText="1"/>
    </xf>
    <xf numFmtId="49" fontId="10" fillId="3" borderId="4" xfId="2" applyNumberFormat="1" applyFont="1" applyFill="1" applyBorder="1" applyAlignment="1">
      <alignment vertical="center"/>
    </xf>
    <xf numFmtId="164" fontId="9" fillId="3" borderId="0" xfId="2" applyNumberFormat="1" applyFont="1" applyFill="1" applyBorder="1" applyAlignment="1">
      <alignment horizontal="center" vertical="center" wrapText="1"/>
    </xf>
    <xf numFmtId="164" fontId="9" fillId="3" borderId="0" xfId="2" applyNumberFormat="1" applyFont="1" applyFill="1" applyBorder="1" applyAlignment="1">
      <alignment wrapText="1"/>
    </xf>
    <xf numFmtId="164" fontId="9" fillId="3" borderId="5" xfId="2" applyNumberFormat="1" applyFont="1" applyFill="1" applyBorder="1" applyAlignment="1">
      <alignment wrapText="1"/>
    </xf>
    <xf numFmtId="49" fontId="9" fillId="3" borderId="4" xfId="2" applyNumberFormat="1" applyFont="1" applyFill="1" applyBorder="1" applyAlignment="1">
      <alignment horizontal="center" vertical="center"/>
    </xf>
    <xf numFmtId="164" fontId="9" fillId="3" borderId="0" xfId="2" applyNumberFormat="1" applyFont="1" applyFill="1" applyBorder="1"/>
    <xf numFmtId="164" fontId="9" fillId="3" borderId="5" xfId="2" applyNumberFormat="1" applyFont="1" applyFill="1" applyBorder="1"/>
    <xf numFmtId="49" fontId="10" fillId="3" borderId="4" xfId="2" applyNumberFormat="1" applyFont="1" applyFill="1" applyBorder="1" applyAlignment="1">
      <alignment horizontal="center" vertical="center"/>
    </xf>
    <xf numFmtId="164" fontId="10" fillId="3" borderId="0" xfId="2" applyNumberFormat="1" applyFont="1" applyFill="1" applyBorder="1" applyAlignment="1">
      <alignment wrapText="1"/>
    </xf>
    <xf numFmtId="164" fontId="10" fillId="3" borderId="0" xfId="2" applyNumberFormat="1" applyFont="1" applyFill="1" applyBorder="1"/>
    <xf numFmtId="164" fontId="10" fillId="3" borderId="5" xfId="2" applyNumberFormat="1" applyFont="1" applyFill="1" applyBorder="1"/>
    <xf numFmtId="164" fontId="9" fillId="3" borderId="0" xfId="2" applyNumberFormat="1" applyFont="1" applyFill="1" applyBorder="1" applyAlignment="1">
      <alignment horizontal="center" wrapText="1"/>
    </xf>
    <xf numFmtId="49" fontId="9" fillId="4" borderId="4" xfId="2" applyNumberFormat="1" applyFont="1" applyFill="1" applyBorder="1" applyAlignment="1">
      <alignment horizontal="center" vertical="center"/>
    </xf>
    <xf numFmtId="164" fontId="9" fillId="4" borderId="0" xfId="2" applyNumberFormat="1" applyFont="1" applyFill="1" applyBorder="1" applyAlignment="1">
      <alignment wrapText="1"/>
    </xf>
    <xf numFmtId="164" fontId="9" fillId="4" borderId="0" xfId="2" applyNumberFormat="1" applyFont="1" applyFill="1" applyBorder="1"/>
    <xf numFmtId="164" fontId="9" fillId="4" borderId="5" xfId="2" applyNumberFormat="1" applyFont="1" applyFill="1" applyBorder="1"/>
    <xf numFmtId="49" fontId="9" fillId="4" borderId="6" xfId="2" applyNumberFormat="1" applyFont="1" applyFill="1" applyBorder="1" applyAlignment="1">
      <alignment horizontal="center" vertical="center"/>
    </xf>
    <xf numFmtId="164" fontId="9" fillId="4" borderId="7" xfId="2" applyNumberFormat="1" applyFont="1" applyFill="1" applyBorder="1" applyAlignment="1">
      <alignment wrapText="1"/>
    </xf>
    <xf numFmtId="164" fontId="9" fillId="4" borderId="7" xfId="2" applyNumberFormat="1" applyFont="1" applyFill="1" applyBorder="1"/>
    <xf numFmtId="164" fontId="9" fillId="4" borderId="8" xfId="2" applyNumberFormat="1" applyFont="1" applyFill="1" applyBorder="1"/>
    <xf numFmtId="164" fontId="26" fillId="2" borderId="0" xfId="3" applyNumberFormat="1" applyFont="1" applyFill="1"/>
    <xf numFmtId="164" fontId="4" fillId="2" borderId="0" xfId="3" applyNumberFormat="1" applyFont="1" applyFill="1" applyBorder="1" applyAlignment="1">
      <alignment wrapText="1"/>
    </xf>
    <xf numFmtId="164" fontId="10" fillId="2" borderId="0" xfId="3" applyNumberFormat="1" applyFont="1" applyFill="1"/>
    <xf numFmtId="164" fontId="10" fillId="2" borderId="0" xfId="3" applyNumberFormat="1" applyFont="1" applyFill="1" applyBorder="1"/>
    <xf numFmtId="49" fontId="9" fillId="4" borderId="1" xfId="3" applyNumberFormat="1" applyFont="1" applyFill="1" applyBorder="1" applyAlignment="1">
      <alignment horizontal="center" vertical="center"/>
    </xf>
    <xf numFmtId="164" fontId="9" fillId="4" borderId="2" xfId="3" applyNumberFormat="1" applyFont="1" applyFill="1" applyBorder="1" applyAlignment="1">
      <alignment horizontal="center" vertical="center" wrapText="1"/>
    </xf>
    <xf numFmtId="164" fontId="9" fillId="4" borderId="3" xfId="3" applyNumberFormat="1" applyFont="1" applyFill="1" applyBorder="1" applyAlignment="1">
      <alignment horizontal="center" vertical="center"/>
    </xf>
    <xf numFmtId="49" fontId="9" fillId="3" borderId="4" xfId="3" applyNumberFormat="1" applyFont="1" applyFill="1" applyBorder="1" applyAlignment="1">
      <alignment horizontal="center" vertical="center"/>
    </xf>
    <xf numFmtId="164" fontId="9" fillId="3" borderId="0" xfId="3" applyNumberFormat="1" applyFont="1" applyFill="1" applyBorder="1" applyAlignment="1">
      <alignment horizontal="center" wrapText="1"/>
    </xf>
    <xf numFmtId="164" fontId="9" fillId="3" borderId="0" xfId="3" applyNumberFormat="1" applyFont="1" applyFill="1" applyBorder="1"/>
    <xf numFmtId="164" fontId="9" fillId="3" borderId="5" xfId="3" applyNumberFormat="1" applyFont="1" applyFill="1" applyBorder="1"/>
    <xf numFmtId="164" fontId="9" fillId="3" borderId="0" xfId="3" applyNumberFormat="1" applyFont="1" applyFill="1" applyBorder="1" applyAlignment="1">
      <alignment wrapText="1"/>
    </xf>
    <xf numFmtId="49" fontId="10" fillId="3" borderId="4" xfId="3" applyNumberFormat="1" applyFont="1" applyFill="1" applyBorder="1" applyAlignment="1">
      <alignment horizontal="center" vertical="center"/>
    </xf>
    <xf numFmtId="164" fontId="10" fillId="3" borderId="0" xfId="3" applyNumberFormat="1" applyFont="1" applyFill="1" applyBorder="1" applyAlignment="1">
      <alignment wrapText="1"/>
    </xf>
    <xf numFmtId="164" fontId="10" fillId="3" borderId="0" xfId="3" applyNumberFormat="1" applyFont="1" applyFill="1" applyBorder="1"/>
    <xf numFmtId="164" fontId="10" fillId="3" borderId="5" xfId="3" applyNumberFormat="1" applyFont="1" applyFill="1" applyBorder="1"/>
    <xf numFmtId="49" fontId="9" fillId="4" borderId="6" xfId="3" applyNumberFormat="1" applyFont="1" applyFill="1" applyBorder="1" applyAlignment="1">
      <alignment horizontal="center" vertical="center"/>
    </xf>
    <xf numFmtId="164" fontId="9" fillId="4" borderId="7" xfId="3" applyNumberFormat="1" applyFont="1" applyFill="1" applyBorder="1" applyAlignment="1">
      <alignment wrapText="1"/>
    </xf>
    <xf numFmtId="164" fontId="9" fillId="4" borderId="7" xfId="3" applyNumberFormat="1" applyFont="1" applyFill="1" applyBorder="1"/>
    <xf numFmtId="164" fontId="9" fillId="4" borderId="8" xfId="3" applyNumberFormat="1" applyFont="1" applyFill="1" applyBorder="1"/>
    <xf numFmtId="49" fontId="10" fillId="3" borderId="0" xfId="3" applyNumberFormat="1" applyFont="1" applyFill="1" applyBorder="1" applyAlignment="1">
      <alignment horizontal="center" vertical="center"/>
    </xf>
    <xf numFmtId="164" fontId="10" fillId="3" borderId="0" xfId="3" applyNumberFormat="1" applyFont="1" applyFill="1"/>
    <xf numFmtId="164" fontId="6" fillId="3" borderId="0" xfId="3" applyNumberFormat="1" applyFont="1" applyFill="1" applyBorder="1"/>
    <xf numFmtId="49" fontId="9" fillId="4" borderId="4" xfId="3" applyNumberFormat="1" applyFont="1" applyFill="1" applyBorder="1" applyAlignment="1">
      <alignment horizontal="center" vertical="center"/>
    </xf>
    <xf numFmtId="164" fontId="9" fillId="4" borderId="0" xfId="3" applyNumberFormat="1" applyFont="1" applyFill="1" applyBorder="1" applyAlignment="1">
      <alignment wrapText="1"/>
    </xf>
    <xf numFmtId="164" fontId="9" fillId="4" borderId="0" xfId="3" applyNumberFormat="1" applyFont="1" applyFill="1" applyBorder="1"/>
    <xf numFmtId="164" fontId="9" fillId="4" borderId="5" xfId="3" applyNumberFormat="1" applyFont="1" applyFill="1" applyBorder="1"/>
    <xf numFmtId="49" fontId="9" fillId="2" borderId="0" xfId="3" applyNumberFormat="1" applyFont="1" applyFill="1" applyBorder="1" applyAlignment="1">
      <alignment horizontal="center" vertical="center"/>
    </xf>
    <xf numFmtId="164" fontId="9" fillId="2" borderId="0" xfId="3" applyNumberFormat="1" applyFont="1" applyFill="1" applyBorder="1" applyAlignment="1">
      <alignment wrapText="1"/>
    </xf>
    <xf numFmtId="164" fontId="9" fillId="2" borderId="0" xfId="3" applyNumberFormat="1" applyFont="1" applyFill="1" applyBorder="1"/>
    <xf numFmtId="0" fontId="29" fillId="2" borderId="0" xfId="4" applyNumberFormat="1" applyFill="1"/>
    <xf numFmtId="49" fontId="5" fillId="2" borderId="0" xfId="3" applyNumberFormat="1" applyFont="1" applyFill="1" applyBorder="1" applyAlignment="1">
      <alignment vertical="top"/>
    </xf>
    <xf numFmtId="49" fontId="5" fillId="2" borderId="0" xfId="3" applyNumberFormat="1" applyFont="1" applyFill="1" applyBorder="1" applyAlignment="1">
      <alignment horizontal="left" vertical="top" wrapText="1"/>
    </xf>
    <xf numFmtId="49" fontId="10" fillId="2" borderId="0" xfId="3" applyNumberFormat="1" applyFont="1" applyFill="1" applyAlignment="1">
      <alignment horizontal="center" vertical="center"/>
    </xf>
    <xf numFmtId="164" fontId="10" fillId="2" borderId="0" xfId="3" applyNumberFormat="1" applyFont="1" applyFill="1" applyAlignment="1">
      <alignment wrapText="1"/>
    </xf>
    <xf numFmtId="164" fontId="4" fillId="2" borderId="7" xfId="6" applyNumberFormat="1" applyFont="1" applyFill="1" applyBorder="1" applyAlignment="1">
      <alignment horizontal="left" vertical="top" wrapText="1"/>
    </xf>
    <xf numFmtId="49" fontId="9" fillId="4" borderId="1" xfId="6" applyNumberFormat="1" applyFont="1" applyFill="1" applyBorder="1" applyAlignment="1">
      <alignment horizontal="center" vertical="center" wrapText="1"/>
    </xf>
    <xf numFmtId="164" fontId="9" fillId="4" borderId="2" xfId="6" applyNumberFormat="1" applyFont="1" applyFill="1" applyBorder="1" applyAlignment="1">
      <alignment horizontal="center" vertical="center" wrapText="1"/>
    </xf>
    <xf numFmtId="164" fontId="9" fillId="4" borderId="3" xfId="6" applyNumberFormat="1" applyFont="1" applyFill="1" applyBorder="1" applyAlignment="1">
      <alignment horizontal="center" wrapText="1"/>
    </xf>
    <xf numFmtId="49" fontId="9" fillId="3" borderId="4" xfId="6" applyNumberFormat="1" applyFont="1" applyFill="1" applyBorder="1" applyAlignment="1">
      <alignment horizontal="center" vertical="center"/>
    </xf>
    <xf numFmtId="164" fontId="9" fillId="3" borderId="0" xfId="6" applyNumberFormat="1" applyFont="1" applyFill="1" applyBorder="1" applyAlignment="1">
      <alignment wrapText="1"/>
    </xf>
    <xf numFmtId="164" fontId="9" fillId="3" borderId="5" xfId="6" applyNumberFormat="1" applyFont="1" applyFill="1" applyBorder="1"/>
    <xf numFmtId="164" fontId="6" fillId="3" borderId="5" xfId="6" applyNumberFormat="1" applyFont="1" applyFill="1" applyBorder="1"/>
    <xf numFmtId="49" fontId="10" fillId="3" borderId="4" xfId="6" applyNumberFormat="1" applyFont="1" applyFill="1" applyBorder="1" applyAlignment="1">
      <alignment horizontal="center" vertical="center"/>
    </xf>
    <xf numFmtId="164" fontId="10" fillId="3" borderId="0" xfId="6" applyNumberFormat="1" applyFont="1" applyFill="1" applyBorder="1" applyAlignment="1">
      <alignment wrapText="1"/>
    </xf>
    <xf numFmtId="164" fontId="10" fillId="3" borderId="5" xfId="6" applyNumberFormat="1" applyFont="1" applyFill="1" applyBorder="1"/>
    <xf numFmtId="49" fontId="10" fillId="0" borderId="4" xfId="6" applyNumberFormat="1" applyFont="1" applyBorder="1" applyAlignment="1">
      <alignment horizontal="center" vertical="center"/>
    </xf>
    <xf numFmtId="164" fontId="10" fillId="0" borderId="0" xfId="6" applyNumberFormat="1" applyFont="1" applyBorder="1" applyAlignment="1">
      <alignment wrapText="1"/>
    </xf>
    <xf numFmtId="49" fontId="9" fillId="4" borderId="6" xfId="6" applyNumberFormat="1" applyFont="1" applyFill="1" applyBorder="1" applyAlignment="1">
      <alignment horizontal="center" vertical="center"/>
    </xf>
    <xf numFmtId="164" fontId="9" fillId="4" borderId="7" xfId="6" applyNumberFormat="1" applyFont="1" applyFill="1" applyBorder="1" applyAlignment="1">
      <alignment wrapText="1"/>
    </xf>
    <xf numFmtId="164" fontId="9" fillId="4" borderId="8" xfId="6" applyNumberFormat="1" applyFont="1" applyFill="1" applyBorder="1"/>
    <xf numFmtId="164" fontId="10" fillId="3" borderId="5" xfId="6" applyNumberFormat="1" applyFont="1" applyFill="1" applyBorder="1" applyAlignment="1"/>
    <xf numFmtId="0" fontId="0" fillId="0" borderId="0" xfId="0" applyAlignment="1"/>
    <xf numFmtId="49" fontId="10" fillId="3" borderId="4" xfId="6" applyNumberFormat="1" applyFont="1" applyFill="1" applyBorder="1" applyAlignment="1">
      <alignment horizontal="center"/>
    </xf>
    <xf numFmtId="0" fontId="3" fillId="2" borderId="0" xfId="4" applyNumberFormat="1" applyFont="1" applyFill="1"/>
    <xf numFmtId="0" fontId="4" fillId="2" borderId="0" xfId="4" applyNumberFormat="1" applyFont="1" applyFill="1"/>
    <xf numFmtId="49" fontId="9" fillId="4" borderId="1" xfId="7" applyNumberFormat="1" applyFont="1" applyFill="1" applyBorder="1" applyAlignment="1">
      <alignment horizontal="center" vertical="center"/>
    </xf>
    <xf numFmtId="164" fontId="9" fillId="4" borderId="2" xfId="7" applyNumberFormat="1" applyFont="1" applyFill="1" applyBorder="1" applyAlignment="1">
      <alignment horizontal="center" vertical="center" wrapText="1"/>
    </xf>
    <xf numFmtId="164" fontId="7" fillId="4" borderId="2" xfId="7" applyNumberFormat="1" applyFont="1" applyFill="1" applyBorder="1" applyAlignment="1">
      <alignment horizontal="center" vertical="center"/>
    </xf>
    <xf numFmtId="164" fontId="7" fillId="4" borderId="2" xfId="7" applyNumberFormat="1" applyFont="1" applyFill="1" applyBorder="1" applyAlignment="1">
      <alignment horizontal="center" vertical="center" wrapText="1"/>
    </xf>
    <xf numFmtId="164" fontId="7" fillId="4" borderId="3" xfId="7" applyNumberFormat="1" applyFont="1" applyFill="1" applyBorder="1" applyAlignment="1">
      <alignment horizontal="center" vertical="center" wrapText="1"/>
    </xf>
    <xf numFmtId="49" fontId="9" fillId="3" borderId="4" xfId="7" applyNumberFormat="1" applyFont="1" applyFill="1" applyBorder="1" applyAlignment="1">
      <alignment horizontal="center" vertical="center"/>
    </xf>
    <xf numFmtId="164" fontId="9" fillId="3" borderId="0" xfId="7" applyNumberFormat="1" applyFont="1" applyFill="1" applyBorder="1" applyAlignment="1">
      <alignment wrapText="1"/>
    </xf>
    <xf numFmtId="164" fontId="9" fillId="3" borderId="0" xfId="7" applyNumberFormat="1" applyFont="1" applyFill="1" applyBorder="1"/>
    <xf numFmtId="164" fontId="9" fillId="3" borderId="5" xfId="7" applyNumberFormat="1" applyFont="1" applyFill="1" applyBorder="1"/>
    <xf numFmtId="49" fontId="10" fillId="3" borderId="4" xfId="7" applyNumberFormat="1" applyFont="1" applyFill="1" applyBorder="1" applyAlignment="1">
      <alignment horizontal="center" vertical="center"/>
    </xf>
    <xf numFmtId="164" fontId="10" fillId="3" borderId="0" xfId="7" applyNumberFormat="1" applyFont="1" applyFill="1" applyBorder="1" applyAlignment="1">
      <alignment wrapText="1"/>
    </xf>
    <xf numFmtId="164" fontId="10" fillId="3" borderId="0" xfId="7" applyNumberFormat="1" applyFont="1" applyFill="1" applyBorder="1"/>
    <xf numFmtId="164" fontId="5" fillId="3" borderId="5" xfId="7" applyNumberFormat="1" applyFont="1" applyFill="1" applyBorder="1"/>
    <xf numFmtId="49" fontId="9" fillId="4" borderId="6" xfId="7" applyNumberFormat="1" applyFont="1" applyFill="1" applyBorder="1" applyAlignment="1">
      <alignment horizontal="center" vertical="center"/>
    </xf>
    <xf numFmtId="164" fontId="9" fillId="4" borderId="7" xfId="7" applyNumberFormat="1" applyFont="1" applyFill="1" applyBorder="1" applyAlignment="1">
      <alignment wrapText="1"/>
    </xf>
    <xf numFmtId="164" fontId="9" fillId="4" borderId="7" xfId="7" applyNumberFormat="1" applyFont="1" applyFill="1" applyBorder="1"/>
    <xf numFmtId="164" fontId="9" fillId="4" borderId="8" xfId="7" applyNumberFormat="1" applyFont="1" applyFill="1" applyBorder="1"/>
    <xf numFmtId="164" fontId="4" fillId="2" borderId="0" xfId="7" applyNumberFormat="1" applyFont="1" applyFill="1" applyBorder="1" applyAlignment="1">
      <alignment wrapText="1"/>
    </xf>
    <xf numFmtId="164" fontId="9" fillId="4" borderId="3" xfId="7" applyNumberFormat="1" applyFont="1" applyFill="1" applyBorder="1" applyAlignment="1">
      <alignment horizontal="center" vertical="center"/>
    </xf>
    <xf numFmtId="164" fontId="30" fillId="2" borderId="0" xfId="7" applyNumberFormat="1" applyFont="1" applyFill="1" applyBorder="1" applyAlignment="1">
      <alignment horizontal="left" vertical="top" wrapText="1"/>
    </xf>
    <xf numFmtId="49" fontId="28" fillId="4" borderId="1" xfId="7" applyNumberFormat="1" applyFont="1" applyFill="1" applyBorder="1" applyAlignment="1">
      <alignment horizontal="center" vertical="center" wrapText="1"/>
    </xf>
    <xf numFmtId="164" fontId="28" fillId="4" borderId="1" xfId="7" applyNumberFormat="1" applyFont="1" applyFill="1" applyBorder="1" applyAlignment="1">
      <alignment horizontal="center" vertical="center" wrapText="1"/>
    </xf>
    <xf numFmtId="164" fontId="28" fillId="4" borderId="2" xfId="7" applyNumberFormat="1" applyFont="1" applyFill="1" applyBorder="1" applyAlignment="1">
      <alignment horizontal="center" vertical="center" wrapText="1"/>
    </xf>
    <xf numFmtId="164" fontId="28" fillId="4" borderId="3" xfId="7" applyNumberFormat="1" applyFont="1" applyFill="1" applyBorder="1" applyAlignment="1">
      <alignment horizontal="center" vertical="center" wrapText="1"/>
    </xf>
    <xf numFmtId="49" fontId="10" fillId="3" borderId="9" xfId="7" applyNumberFormat="1" applyFont="1" applyFill="1" applyBorder="1" applyAlignment="1">
      <alignment horizontal="center" vertical="center"/>
    </xf>
    <xf numFmtId="164" fontId="31" fillId="3" borderId="10" xfId="7" applyNumberFormat="1" applyFont="1" applyFill="1" applyBorder="1" applyAlignment="1">
      <alignment horizontal="center" vertical="center" wrapText="1"/>
    </xf>
    <xf numFmtId="164" fontId="31" fillId="3" borderId="11" xfId="7" applyNumberFormat="1" applyFont="1" applyFill="1" applyBorder="1" applyAlignment="1">
      <alignment horizontal="center" vertical="center" wrapText="1"/>
    </xf>
    <xf numFmtId="164" fontId="31" fillId="3" borderId="12" xfId="7" applyNumberFormat="1" applyFont="1" applyFill="1" applyBorder="1" applyAlignment="1">
      <alignment horizontal="center" vertical="center" wrapText="1"/>
    </xf>
    <xf numFmtId="49" fontId="10" fillId="3" borderId="6" xfId="7" applyNumberFormat="1" applyFont="1" applyFill="1" applyBorder="1" applyAlignment="1">
      <alignment horizontal="center" vertical="center"/>
    </xf>
    <xf numFmtId="164" fontId="10" fillId="3" borderId="6" xfId="7" applyNumberFormat="1" applyFont="1" applyFill="1" applyBorder="1" applyAlignment="1">
      <alignment horizontal="center" vertical="center" wrapText="1"/>
    </xf>
    <xf numFmtId="164" fontId="10" fillId="3" borderId="7" xfId="7" applyNumberFormat="1" applyFont="1" applyFill="1" applyBorder="1" applyAlignment="1">
      <alignment horizontal="center" vertical="center" wrapText="1"/>
    </xf>
    <xf numFmtId="9" fontId="10" fillId="3" borderId="7" xfId="7" applyNumberFormat="1" applyFont="1" applyFill="1" applyBorder="1" applyAlignment="1">
      <alignment horizontal="center" wrapText="1"/>
    </xf>
    <xf numFmtId="9" fontId="10" fillId="3" borderId="8" xfId="7" applyNumberFormat="1" applyFont="1" applyFill="1" applyBorder="1" applyAlignment="1">
      <alignment horizontal="center" wrapText="1"/>
    </xf>
    <xf numFmtId="164" fontId="4" fillId="2" borderId="0" xfId="7" applyNumberFormat="1" applyFont="1" applyFill="1" applyBorder="1" applyAlignment="1">
      <alignment horizontal="left" wrapText="1"/>
    </xf>
    <xf numFmtId="4" fontId="9" fillId="4" borderId="1" xfId="7" applyNumberFormat="1" applyFont="1" applyFill="1" applyBorder="1" applyAlignment="1">
      <alignment horizontal="center" vertical="center" wrapText="1"/>
    </xf>
    <xf numFmtId="4" fontId="9" fillId="4" borderId="2" xfId="7" applyNumberFormat="1" applyFont="1" applyFill="1" applyBorder="1" applyAlignment="1">
      <alignment horizontal="center" vertical="center" wrapText="1"/>
    </xf>
    <xf numFmtId="4" fontId="9" fillId="4" borderId="3" xfId="7" applyNumberFormat="1" applyFont="1" applyFill="1" applyBorder="1" applyAlignment="1">
      <alignment horizontal="center" vertical="center" wrapText="1"/>
    </xf>
    <xf numFmtId="4" fontId="9" fillId="3" borderId="4" xfId="7" applyNumberFormat="1" applyFont="1" applyFill="1" applyBorder="1" applyAlignment="1">
      <alignment wrapText="1"/>
    </xf>
    <xf numFmtId="4" fontId="9" fillId="3" borderId="0" xfId="7" applyNumberFormat="1" applyFont="1" applyFill="1" applyBorder="1" applyAlignment="1">
      <alignment wrapText="1"/>
    </xf>
    <xf numFmtId="4" fontId="9" fillId="3" borderId="5" xfId="7" applyNumberFormat="1" applyFont="1" applyFill="1" applyBorder="1" applyAlignment="1">
      <alignment wrapText="1"/>
    </xf>
    <xf numFmtId="4" fontId="9" fillId="3" borderId="0" xfId="7" applyNumberFormat="1" applyFont="1" applyFill="1" applyBorder="1" applyAlignment="1"/>
    <xf numFmtId="4" fontId="6" fillId="3" borderId="0" xfId="7" applyNumberFormat="1" applyFont="1" applyFill="1" applyBorder="1" applyAlignment="1">
      <alignment wrapText="1"/>
    </xf>
    <xf numFmtId="4" fontId="6" fillId="3" borderId="5" xfId="7" applyNumberFormat="1" applyFont="1" applyFill="1" applyBorder="1" applyAlignment="1">
      <alignment wrapText="1"/>
    </xf>
    <xf numFmtId="4" fontId="10" fillId="3" borderId="4" xfId="7" applyNumberFormat="1" applyFont="1" applyFill="1" applyBorder="1" applyAlignment="1">
      <alignment wrapText="1"/>
    </xf>
    <xf numFmtId="4" fontId="10" fillId="3" borderId="0" xfId="7" applyNumberFormat="1" applyFont="1" applyFill="1" applyBorder="1" applyAlignment="1">
      <alignment wrapText="1"/>
    </xf>
    <xf numFmtId="4" fontId="10" fillId="3" borderId="5" xfId="7" applyNumberFormat="1" applyFont="1" applyFill="1" applyBorder="1" applyAlignment="1">
      <alignment wrapText="1"/>
    </xf>
    <xf numFmtId="4" fontId="9" fillId="4" borderId="6" xfId="7" applyNumberFormat="1" applyFont="1" applyFill="1" applyBorder="1" applyAlignment="1">
      <alignment wrapText="1"/>
    </xf>
    <xf numFmtId="4" fontId="9" fillId="4" borderId="7" xfId="7" applyNumberFormat="1" applyFont="1" applyFill="1" applyBorder="1" applyAlignment="1">
      <alignment wrapText="1"/>
    </xf>
    <xf numFmtId="4" fontId="9" fillId="4" borderId="8" xfId="7" applyNumberFormat="1" applyFont="1" applyFill="1" applyBorder="1" applyAlignment="1">
      <alignment wrapText="1"/>
    </xf>
    <xf numFmtId="4" fontId="29" fillId="2" borderId="0" xfId="4" applyNumberFormat="1" applyFill="1"/>
    <xf numFmtId="164" fontId="10" fillId="0" borderId="0" xfId="5" applyNumberFormat="1" applyFont="1"/>
    <xf numFmtId="164" fontId="7" fillId="4" borderId="0" xfId="5" applyNumberFormat="1" applyFont="1" applyFill="1" applyBorder="1" applyAlignment="1">
      <alignment horizontal="center" vertical="center"/>
    </xf>
    <xf numFmtId="164" fontId="7" fillId="4" borderId="5" xfId="5" applyNumberFormat="1" applyFont="1" applyFill="1" applyBorder="1" applyAlignment="1">
      <alignment horizontal="center" vertical="center" wrapText="1"/>
    </xf>
    <xf numFmtId="164" fontId="9" fillId="4" borderId="7" xfId="5" applyNumberFormat="1" applyFont="1" applyFill="1" applyBorder="1"/>
    <xf numFmtId="164" fontId="9" fillId="4" borderId="8" xfId="5" applyNumberFormat="1" applyFont="1" applyFill="1" applyBorder="1"/>
    <xf numFmtId="49" fontId="10" fillId="0" borderId="0" xfId="8" applyNumberFormat="1" applyFont="1" applyAlignment="1">
      <alignment horizontal="center" vertical="center"/>
    </xf>
    <xf numFmtId="164" fontId="10" fillId="0" borderId="0" xfId="8" applyNumberFormat="1" applyFont="1" applyAlignment="1">
      <alignment wrapText="1"/>
    </xf>
    <xf numFmtId="164" fontId="10" fillId="0" borderId="0" xfId="8" applyNumberFormat="1" applyFont="1"/>
    <xf numFmtId="49" fontId="6" fillId="4" borderId="1" xfId="8" applyNumberFormat="1" applyFont="1" applyFill="1" applyBorder="1" applyAlignment="1">
      <alignment horizontal="center" vertical="center"/>
    </xf>
    <xf numFmtId="164" fontId="6" fillId="4" borderId="2" xfId="8" applyNumberFormat="1" applyFont="1" applyFill="1" applyBorder="1" applyAlignment="1">
      <alignment wrapText="1"/>
    </xf>
    <xf numFmtId="164" fontId="4" fillId="0" borderId="0" xfId="6" applyNumberFormat="1" applyFont="1" applyBorder="1" applyAlignment="1">
      <alignment vertical="top" wrapText="1"/>
    </xf>
    <xf numFmtId="164" fontId="7" fillId="4" borderId="19" xfId="6" applyNumberFormat="1" applyFont="1" applyFill="1" applyBorder="1" applyAlignment="1">
      <alignment horizontal="center" vertical="center"/>
    </xf>
    <xf numFmtId="164" fontId="7" fillId="4" borderId="0" xfId="6" applyNumberFormat="1" applyFont="1" applyFill="1" applyBorder="1" applyAlignment="1">
      <alignment horizontal="center" vertical="center" wrapText="1"/>
    </xf>
    <xf numFmtId="164" fontId="7" fillId="4" borderId="18" xfId="6" applyNumberFormat="1" applyFont="1" applyFill="1" applyBorder="1" applyAlignment="1">
      <alignment horizontal="center" vertical="center"/>
    </xf>
    <xf numFmtId="164" fontId="7" fillId="4" borderId="0" xfId="6" applyNumberFormat="1" applyFont="1" applyFill="1" applyBorder="1" applyAlignment="1">
      <alignment horizontal="center" vertical="center"/>
    </xf>
    <xf numFmtId="164" fontId="7" fillId="4" borderId="5" xfId="6" applyNumberFormat="1" applyFont="1" applyFill="1" applyBorder="1" applyAlignment="1">
      <alignment horizontal="center" vertical="center"/>
    </xf>
    <xf numFmtId="49" fontId="9" fillId="0" borderId="4" xfId="6" applyNumberFormat="1" applyFont="1" applyBorder="1" applyAlignment="1">
      <alignment horizontal="center" vertical="center"/>
    </xf>
    <xf numFmtId="164" fontId="9" fillId="4" borderId="21" xfId="6" applyNumberFormat="1" applyFont="1" applyFill="1" applyBorder="1"/>
    <xf numFmtId="164" fontId="9" fillId="4" borderId="7" xfId="6" applyNumberFormat="1" applyFont="1" applyFill="1" applyBorder="1"/>
    <xf numFmtId="164" fontId="9" fillId="4" borderId="20" xfId="6" applyNumberFormat="1" applyFont="1" applyFill="1" applyBorder="1"/>
    <xf numFmtId="49" fontId="10" fillId="0" borderId="0" xfId="6" applyNumberFormat="1" applyFont="1" applyAlignment="1">
      <alignment horizontal="center" vertical="center"/>
    </xf>
    <xf numFmtId="164" fontId="10" fillId="0" borderId="0" xfId="6" applyNumberFormat="1" applyFont="1" applyAlignment="1">
      <alignment wrapText="1"/>
    </xf>
    <xf numFmtId="164" fontId="10" fillId="0" borderId="0" xfId="6" applyNumberFormat="1" applyFont="1"/>
    <xf numFmtId="49" fontId="7" fillId="4" borderId="1" xfId="6" applyNumberFormat="1" applyFont="1" applyFill="1" applyBorder="1" applyAlignment="1">
      <alignment horizontal="center" vertical="center" wrapText="1"/>
    </xf>
    <xf numFmtId="164" fontId="7" fillId="4" borderId="2" xfId="6" applyNumberFormat="1" applyFont="1" applyFill="1" applyBorder="1" applyAlignment="1">
      <alignment horizontal="center" vertical="center" wrapText="1"/>
    </xf>
    <xf numFmtId="164" fontId="7" fillId="4" borderId="3" xfId="6" applyNumberFormat="1" applyFont="1" applyFill="1" applyBorder="1" applyAlignment="1">
      <alignment horizontal="center" vertical="center" wrapText="1"/>
    </xf>
    <xf numFmtId="164" fontId="9" fillId="0" borderId="0" xfId="6" applyNumberFormat="1" applyFont="1" applyAlignment="1">
      <alignment horizontal="center" vertical="center" wrapText="1"/>
    </xf>
    <xf numFmtId="49" fontId="9" fillId="0" borderId="4" xfId="6" applyNumberFormat="1" applyFont="1" applyBorder="1" applyAlignment="1">
      <alignment horizontal="center" vertical="center" wrapText="1"/>
    </xf>
    <xf numFmtId="164" fontId="9" fillId="0" borderId="0" xfId="6" applyNumberFormat="1" applyFont="1" applyBorder="1" applyAlignment="1">
      <alignment horizontal="left" vertical="center" wrapText="1"/>
    </xf>
    <xf numFmtId="164" fontId="9" fillId="0" borderId="5" xfId="6" applyNumberFormat="1" applyFont="1" applyBorder="1" applyAlignment="1">
      <alignment vertical="center" wrapText="1"/>
    </xf>
    <xf numFmtId="49" fontId="10" fillId="0" borderId="4" xfId="6" applyNumberFormat="1" applyFont="1" applyBorder="1" applyAlignment="1">
      <alignment horizontal="center" vertical="center" wrapText="1"/>
    </xf>
    <xf numFmtId="164" fontId="10" fillId="0" borderId="0" xfId="6" applyNumberFormat="1" applyFont="1" applyBorder="1" applyAlignment="1">
      <alignment horizontal="left" vertical="center" wrapText="1"/>
    </xf>
    <xf numFmtId="164" fontId="10" fillId="0" borderId="5" xfId="6" applyNumberFormat="1" applyFont="1" applyBorder="1" applyAlignment="1">
      <alignment vertical="center" wrapText="1"/>
    </xf>
    <xf numFmtId="164" fontId="9" fillId="0" borderId="0" xfId="6" applyNumberFormat="1" applyFont="1" applyBorder="1" applyAlignment="1">
      <alignment wrapText="1"/>
    </xf>
    <xf numFmtId="49" fontId="27" fillId="0" borderId="4" xfId="6" applyNumberFormat="1" applyFont="1" applyBorder="1" applyAlignment="1">
      <alignment horizontal="center" vertical="center"/>
    </xf>
    <xf numFmtId="164" fontId="27" fillId="0" borderId="0" xfId="6" applyNumberFormat="1" applyFont="1" applyBorder="1" applyAlignment="1">
      <alignment wrapText="1"/>
    </xf>
    <xf numFmtId="164" fontId="27" fillId="0" borderId="0" xfId="6" applyNumberFormat="1" applyFont="1"/>
    <xf numFmtId="164" fontId="9" fillId="4" borderId="7" xfId="6" applyNumberFormat="1" applyFont="1" applyFill="1" applyBorder="1" applyAlignment="1"/>
    <xf numFmtId="164" fontId="9" fillId="4" borderId="8" xfId="6" applyNumberFormat="1" applyFont="1" applyFill="1" applyBorder="1" applyAlignment="1">
      <alignment vertical="center" wrapText="1"/>
    </xf>
    <xf numFmtId="164" fontId="9" fillId="0" borderId="0" xfId="6" applyNumberFormat="1" applyFont="1" applyAlignment="1"/>
    <xf numFmtId="164" fontId="34" fillId="4" borderId="2" xfId="6" applyNumberFormat="1" applyFont="1" applyFill="1" applyBorder="1" applyAlignment="1">
      <alignment horizontal="centerContinuous" vertical="center" wrapText="1"/>
    </xf>
    <xf numFmtId="164" fontId="34" fillId="4" borderId="2" xfId="6" applyNumberFormat="1" applyFont="1" applyFill="1" applyBorder="1" applyAlignment="1">
      <alignment horizontal="center" vertical="center" wrapText="1"/>
    </xf>
    <xf numFmtId="164" fontId="7" fillId="4" borderId="3" xfId="6" applyNumberFormat="1" applyFont="1" applyFill="1" applyBorder="1" applyAlignment="1">
      <alignment horizontal="center" wrapText="1"/>
    </xf>
    <xf numFmtId="164" fontId="30" fillId="4" borderId="7" xfId="6" applyNumberFormat="1" applyFont="1" applyFill="1" applyBorder="1"/>
    <xf numFmtId="164" fontId="10" fillId="0" borderId="0" xfId="9" applyNumberFormat="1" applyFont="1" applyBorder="1"/>
    <xf numFmtId="164" fontId="3" fillId="0" borderId="0" xfId="9" applyNumberFormat="1" applyFont="1" applyBorder="1" applyAlignment="1">
      <alignment wrapText="1"/>
    </xf>
    <xf numFmtId="49" fontId="7" fillId="4" borderId="1" xfId="9" applyNumberFormat="1" applyFont="1" applyFill="1" applyBorder="1" applyAlignment="1">
      <alignment horizontal="center" vertical="center"/>
    </xf>
    <xf numFmtId="164" fontId="7" fillId="4" borderId="2" xfId="9" applyNumberFormat="1" applyFont="1" applyFill="1" applyBorder="1" applyAlignment="1">
      <alignment horizontal="center" vertical="center" wrapText="1"/>
    </xf>
    <xf numFmtId="164" fontId="7" fillId="4" borderId="2" xfId="3" applyNumberFormat="1" applyFont="1" applyFill="1" applyBorder="1" applyAlignment="1">
      <alignment horizontal="center" wrapText="1"/>
    </xf>
    <xf numFmtId="164" fontId="7" fillId="4" borderId="3" xfId="3" applyNumberFormat="1" applyFont="1" applyFill="1" applyBorder="1" applyAlignment="1">
      <alignment horizontal="center" wrapText="1"/>
    </xf>
    <xf numFmtId="49" fontId="10" fillId="0" borderId="4" xfId="9" applyNumberFormat="1" applyFont="1" applyBorder="1" applyAlignment="1">
      <alignment horizontal="center" vertical="center"/>
    </xf>
    <xf numFmtId="164" fontId="10" fillId="0" borderId="0" xfId="9" applyNumberFormat="1" applyFont="1" applyBorder="1" applyAlignment="1">
      <alignment wrapText="1"/>
    </xf>
    <xf numFmtId="164" fontId="10" fillId="0" borderId="5" xfId="9" applyNumberFormat="1" applyFont="1" applyBorder="1"/>
    <xf numFmtId="164" fontId="9" fillId="4" borderId="7" xfId="9" applyNumberFormat="1" applyFont="1" applyFill="1" applyBorder="1"/>
    <xf numFmtId="164" fontId="9" fillId="4" borderId="8" xfId="9" applyNumberFormat="1" applyFont="1" applyFill="1" applyBorder="1"/>
    <xf numFmtId="49" fontId="10" fillId="0" borderId="0" xfId="9" applyNumberFormat="1" applyFont="1" applyAlignment="1">
      <alignment horizontal="center" vertical="center"/>
    </xf>
    <xf numFmtId="164" fontId="10" fillId="0" borderId="0" xfId="9" applyNumberFormat="1" applyFont="1" applyAlignment="1">
      <alignment wrapText="1"/>
    </xf>
    <xf numFmtId="164" fontId="10" fillId="0" borderId="0" xfId="9" applyNumberFormat="1" applyFont="1"/>
    <xf numFmtId="49" fontId="9" fillId="0" borderId="4" xfId="9" applyNumberFormat="1" applyFont="1" applyBorder="1" applyAlignment="1">
      <alignment horizontal="center" vertical="center"/>
    </xf>
    <xf numFmtId="164" fontId="9" fillId="0" borderId="0" xfId="9" applyNumberFormat="1" applyFont="1" applyBorder="1" applyAlignment="1">
      <alignment wrapText="1"/>
    </xf>
    <xf numFmtId="164" fontId="9" fillId="0" borderId="0" xfId="9" applyNumberFormat="1" applyFont="1" applyBorder="1"/>
    <xf numFmtId="164" fontId="9" fillId="0" borderId="5" xfId="9" applyNumberFormat="1" applyFont="1" applyBorder="1"/>
    <xf numFmtId="164" fontId="10" fillId="0" borderId="0" xfId="9" applyNumberFormat="1" applyFont="1" applyFill="1" applyBorder="1"/>
    <xf numFmtId="49" fontId="10" fillId="0" borderId="0" xfId="5" applyNumberFormat="1" applyFont="1" applyAlignment="1">
      <alignment horizontal="center" vertical="center"/>
    </xf>
    <xf numFmtId="164" fontId="10" fillId="0" borderId="0" xfId="5" applyNumberFormat="1" applyFont="1" applyAlignment="1">
      <alignment wrapText="1"/>
    </xf>
    <xf numFmtId="4" fontId="9" fillId="2" borderId="0" xfId="4" applyNumberFormat="1" applyFont="1" applyFill="1"/>
    <xf numFmtId="4" fontId="9" fillId="4" borderId="1" xfId="0" applyNumberFormat="1" applyFont="1" applyFill="1" applyBorder="1" applyAlignment="1" applyProtection="1">
      <alignment horizontal="left"/>
      <protection locked="0"/>
    </xf>
    <xf numFmtId="4" fontId="10" fillId="4" borderId="2" xfId="0" applyNumberFormat="1" applyFont="1" applyFill="1" applyBorder="1" applyProtection="1">
      <protection locked="0"/>
    </xf>
    <xf numFmtId="4" fontId="9" fillId="4" borderId="3" xfId="0" applyNumberFormat="1" applyFont="1" applyFill="1" applyBorder="1" applyAlignment="1" applyProtection="1">
      <alignment horizontal="center" vertical="center" wrapText="1"/>
      <protection locked="0"/>
    </xf>
    <xf numFmtId="4" fontId="28" fillId="4" borderId="4" xfId="0" applyNumberFormat="1" applyFont="1" applyFill="1" applyBorder="1" applyAlignment="1" applyProtection="1">
      <alignment horizontal="center" vertical="center" wrapText="1"/>
      <protection locked="0"/>
    </xf>
    <xf numFmtId="4" fontId="28" fillId="4" borderId="0" xfId="0" applyNumberFormat="1" applyFont="1" applyFill="1" applyBorder="1" applyAlignment="1" applyProtection="1">
      <alignment horizontal="center" vertical="center" wrapText="1"/>
      <protection locked="0"/>
    </xf>
    <xf numFmtId="4" fontId="28" fillId="4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0" xfId="0" applyNumberFormat="1" applyFont="1" applyFill="1" applyBorder="1" applyAlignment="1" applyProtection="1">
      <alignment vertical="center" wrapText="1"/>
      <protection locked="0"/>
    </xf>
    <xf numFmtId="3" fontId="10" fillId="3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9" fillId="3" borderId="6" xfId="0" applyNumberFormat="1" applyFont="1" applyFill="1" applyBorder="1" applyProtection="1">
      <protection locked="0"/>
    </xf>
    <xf numFmtId="4" fontId="10" fillId="3" borderId="7" xfId="0" applyNumberFormat="1" applyFont="1" applyFill="1" applyBorder="1" applyProtection="1">
      <protection locked="0"/>
    </xf>
    <xf numFmtId="3" fontId="9" fillId="3" borderId="7" xfId="0" applyNumberFormat="1" applyFont="1" applyFill="1" applyBorder="1" applyProtection="1">
      <protection locked="0"/>
    </xf>
    <xf numFmtId="4" fontId="10" fillId="3" borderId="8" xfId="0" applyNumberFormat="1" applyFont="1" applyFill="1" applyBorder="1" applyAlignment="1" applyProtection="1">
      <alignment horizontal="right" vertical="center"/>
      <protection locked="0"/>
    </xf>
    <xf numFmtId="4" fontId="9" fillId="4" borderId="22" xfId="0" applyNumberFormat="1" applyFont="1" applyFill="1" applyBorder="1" applyProtection="1">
      <protection locked="0"/>
    </xf>
    <xf numFmtId="4" fontId="10" fillId="4" borderId="23" xfId="0" applyNumberFormat="1" applyFont="1" applyFill="1" applyBorder="1" applyProtection="1">
      <protection locked="0"/>
    </xf>
    <xf numFmtId="4" fontId="9" fillId="4" borderId="25" xfId="0" applyNumberFormat="1" applyFont="1" applyFill="1" applyBorder="1" applyAlignment="1" applyProtection="1">
      <alignment horizontal="right" vertical="center"/>
      <protection locked="0"/>
    </xf>
    <xf numFmtId="0" fontId="10" fillId="2" borderId="0" xfId="4" applyFont="1" applyFill="1"/>
    <xf numFmtId="3" fontId="10" fillId="2" borderId="0" xfId="4" applyNumberFormat="1" applyFont="1" applyFill="1"/>
    <xf numFmtId="0" fontId="10" fillId="2" borderId="0" xfId="4" applyNumberFormat="1" applyFont="1" applyFill="1"/>
    <xf numFmtId="0" fontId="7" fillId="4" borderId="1" xfId="4" applyNumberFormat="1" applyFont="1" applyFill="1" applyBorder="1" applyAlignment="1">
      <alignment horizontal="center" vertical="center"/>
    </xf>
    <xf numFmtId="0" fontId="7" fillId="4" borderId="2" xfId="4" applyNumberFormat="1" applyFont="1" applyFill="1" applyBorder="1" applyAlignment="1">
      <alignment horizontal="center" vertical="center" wrapText="1"/>
    </xf>
    <xf numFmtId="0" fontId="7" fillId="4" borderId="3" xfId="4" applyNumberFormat="1" applyFont="1" applyFill="1" applyBorder="1" applyAlignment="1">
      <alignment horizontal="center" vertical="center" wrapText="1"/>
    </xf>
    <xf numFmtId="0" fontId="10" fillId="3" borderId="4" xfId="4" applyNumberFormat="1" applyFont="1" applyFill="1" applyBorder="1"/>
    <xf numFmtId="4" fontId="10" fillId="3" borderId="0" xfId="4" applyNumberFormat="1" applyFont="1" applyFill="1" applyBorder="1"/>
    <xf numFmtId="9" fontId="10" fillId="3" borderId="0" xfId="4" applyNumberFormat="1" applyFont="1" applyFill="1" applyBorder="1"/>
    <xf numFmtId="9" fontId="10" fillId="3" borderId="5" xfId="4" applyNumberFormat="1" applyFont="1" applyFill="1" applyBorder="1"/>
    <xf numFmtId="0" fontId="9" fillId="4" borderId="6" xfId="4" applyNumberFormat="1" applyFont="1" applyFill="1" applyBorder="1"/>
    <xf numFmtId="4" fontId="6" fillId="4" borderId="7" xfId="4" applyNumberFormat="1" applyFont="1" applyFill="1" applyBorder="1"/>
    <xf numFmtId="9" fontId="9" fillId="4" borderId="7" xfId="4" applyNumberFormat="1" applyFont="1" applyFill="1" applyBorder="1"/>
    <xf numFmtId="9" fontId="9" fillId="4" borderId="8" xfId="4" applyNumberFormat="1" applyFont="1" applyFill="1" applyBorder="1"/>
    <xf numFmtId="164" fontId="10" fillId="2" borderId="0" xfId="0" applyNumberFormat="1" applyFont="1" applyFill="1"/>
    <xf numFmtId="0" fontId="9" fillId="4" borderId="3" xfId="4" applyNumberFormat="1" applyFont="1" applyFill="1" applyBorder="1" applyAlignment="1">
      <alignment horizontal="center" vertical="center" wrapText="1"/>
    </xf>
    <xf numFmtId="0" fontId="29" fillId="2" borderId="0" xfId="4" applyNumberFormat="1" applyFont="1" applyFill="1"/>
    <xf numFmtId="4" fontId="10" fillId="3" borderId="5" xfId="4" applyNumberFormat="1" applyFont="1" applyFill="1" applyBorder="1"/>
    <xf numFmtId="0" fontId="9" fillId="3" borderId="4" xfId="4" applyNumberFormat="1" applyFont="1" applyFill="1" applyBorder="1" applyAlignment="1"/>
    <xf numFmtId="0" fontId="9" fillId="3" borderId="0" xfId="4" applyNumberFormat="1" applyFont="1" applyFill="1" applyBorder="1" applyAlignment="1"/>
    <xf numFmtId="0" fontId="9" fillId="3" borderId="5" xfId="4" applyNumberFormat="1" applyFont="1" applyFill="1" applyBorder="1" applyAlignment="1"/>
    <xf numFmtId="4" fontId="9" fillId="4" borderId="8" xfId="4" applyNumberFormat="1" applyFont="1" applyFill="1" applyBorder="1"/>
    <xf numFmtId="164" fontId="3" fillId="0" borderId="0" xfId="0" applyNumberFormat="1" applyFont="1" applyBorder="1" applyAlignment="1">
      <alignment wrapText="1"/>
    </xf>
    <xf numFmtId="164" fontId="10" fillId="0" borderId="0" xfId="0" applyNumberFormat="1" applyFont="1" applyBorder="1"/>
    <xf numFmtId="164" fontId="10" fillId="0" borderId="0" xfId="0" applyNumberFormat="1" applyFont="1"/>
    <xf numFmtId="49" fontId="4" fillId="0" borderId="0" xfId="0" applyNumberFormat="1" applyFont="1" applyAlignment="1">
      <alignment vertical="center"/>
    </xf>
    <xf numFmtId="164" fontId="10" fillId="0" borderId="0" xfId="0" applyNumberFormat="1" applyFont="1" applyAlignment="1">
      <alignment wrapText="1"/>
    </xf>
    <xf numFmtId="4" fontId="9" fillId="4" borderId="2" xfId="0" applyNumberFormat="1" applyFont="1" applyFill="1" applyBorder="1" applyAlignment="1">
      <alignment horizontal="center" wrapText="1"/>
    </xf>
    <xf numFmtId="4" fontId="9" fillId="4" borderId="3" xfId="0" applyNumberFormat="1" applyFont="1" applyFill="1" applyBorder="1" applyAlignment="1">
      <alignment horizontal="center"/>
    </xf>
    <xf numFmtId="4" fontId="6" fillId="0" borderId="0" xfId="0" applyNumberFormat="1" applyFont="1" applyBorder="1" applyAlignment="1">
      <alignment wrapText="1"/>
    </xf>
    <xf numFmtId="4" fontId="6" fillId="0" borderId="0" xfId="0" applyNumberFormat="1" applyFont="1" applyBorder="1"/>
    <xf numFmtId="4" fontId="6" fillId="0" borderId="5" xfId="0" applyNumberFormat="1" applyFont="1" applyBorder="1"/>
    <xf numFmtId="4" fontId="10" fillId="0" borderId="0" xfId="0" applyNumberFormat="1" applyFont="1" applyBorder="1" applyAlignment="1">
      <alignment wrapText="1"/>
    </xf>
    <xf numFmtId="4" fontId="10" fillId="0" borderId="0" xfId="0" applyNumberFormat="1" applyFont="1" applyBorder="1"/>
    <xf numFmtId="4" fontId="10" fillId="0" borderId="5" xfId="0" applyNumberFormat="1" applyFont="1" applyBorder="1"/>
    <xf numFmtId="4" fontId="10" fillId="0" borderId="26" xfId="0" applyNumberFormat="1" applyFont="1" applyBorder="1" applyAlignment="1">
      <alignment wrapText="1"/>
    </xf>
    <xf numFmtId="4" fontId="9" fillId="4" borderId="7" xfId="0" applyNumberFormat="1" applyFont="1" applyFill="1" applyBorder="1" applyAlignment="1">
      <alignment wrapText="1"/>
    </xf>
    <xf numFmtId="4" fontId="9" fillId="4" borderId="7" xfId="0" applyNumberFormat="1" applyFont="1" applyFill="1" applyBorder="1"/>
    <xf numFmtId="4" fontId="9" fillId="4" borderId="1" xfId="0" applyNumberFormat="1" applyFont="1" applyFill="1" applyBorder="1" applyAlignment="1">
      <alignment horizontal="center" wrapText="1"/>
    </xf>
    <xf numFmtId="4" fontId="9" fillId="4" borderId="2" xfId="0" applyNumberFormat="1" applyFont="1" applyFill="1" applyBorder="1" applyAlignment="1">
      <alignment horizontal="center"/>
    </xf>
    <xf numFmtId="4" fontId="6" fillId="0" borderId="4" xfId="0" applyNumberFormat="1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4" fontId="9" fillId="0" borderId="0" xfId="0" applyNumberFormat="1" applyFont="1" applyBorder="1"/>
    <xf numFmtId="4" fontId="9" fillId="0" borderId="5" xfId="0" applyNumberFormat="1" applyFont="1" applyBorder="1"/>
    <xf numFmtId="4" fontId="5" fillId="0" borderId="4" xfId="0" applyNumberFormat="1" applyFont="1" applyBorder="1" applyAlignment="1">
      <alignment wrapText="1"/>
    </xf>
    <xf numFmtId="4" fontId="5" fillId="0" borderId="0" xfId="0" applyNumberFormat="1" applyFont="1" applyBorder="1" applyAlignment="1">
      <alignment wrapText="1"/>
    </xf>
    <xf numFmtId="4" fontId="5" fillId="0" borderId="0" xfId="0" applyNumberFormat="1" applyFont="1" applyBorder="1"/>
    <xf numFmtId="4" fontId="5" fillId="0" borderId="5" xfId="0" applyNumberFormat="1" applyFont="1" applyBorder="1"/>
    <xf numFmtId="4" fontId="6" fillId="0" borderId="5" xfId="0" applyNumberFormat="1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164" fontId="35" fillId="4" borderId="31" xfId="0" applyNumberFormat="1" applyFont="1" applyFill="1" applyBorder="1" applyAlignment="1">
      <alignment horizontal="center"/>
    </xf>
    <xf numFmtId="164" fontId="35" fillId="4" borderId="32" xfId="0" applyNumberFormat="1" applyFont="1" applyFill="1" applyBorder="1" applyAlignment="1">
      <alignment horizontal="center"/>
    </xf>
    <xf numFmtId="49" fontId="14" fillId="0" borderId="30" xfId="0" applyNumberFormat="1" applyFont="1" applyBorder="1" applyAlignment="1">
      <alignment horizontal="center" vertical="center"/>
    </xf>
    <xf numFmtId="164" fontId="14" fillId="0" borderId="31" xfId="0" applyNumberFormat="1" applyFont="1" applyBorder="1" applyAlignment="1">
      <alignment wrapText="1"/>
    </xf>
    <xf numFmtId="164" fontId="14" fillId="0" borderId="31" xfId="0" applyNumberFormat="1" applyFont="1" applyBorder="1"/>
    <xf numFmtId="164" fontId="14" fillId="0" borderId="32" xfId="0" applyNumberFormat="1" applyFont="1" applyBorder="1"/>
    <xf numFmtId="49" fontId="15" fillId="0" borderId="30" xfId="0" applyNumberFormat="1" applyFont="1" applyBorder="1" applyAlignment="1">
      <alignment horizontal="center" vertical="center"/>
    </xf>
    <xf numFmtId="164" fontId="15" fillId="0" borderId="31" xfId="0" applyNumberFormat="1" applyFont="1" applyBorder="1" applyAlignment="1">
      <alignment wrapText="1"/>
    </xf>
    <xf numFmtId="164" fontId="15" fillId="0" borderId="31" xfId="0" applyNumberFormat="1" applyFont="1" applyFill="1" applyBorder="1"/>
    <xf numFmtId="164" fontId="15" fillId="0" borderId="32" xfId="0" applyNumberFormat="1" applyFont="1" applyFill="1" applyBorder="1"/>
    <xf numFmtId="49" fontId="14" fillId="4" borderId="33" xfId="0" applyNumberFormat="1" applyFont="1" applyFill="1" applyBorder="1" applyAlignment="1">
      <alignment vertical="center"/>
    </xf>
    <xf numFmtId="49" fontId="14" fillId="4" borderId="34" xfId="0" applyNumberFormat="1" applyFont="1" applyFill="1" applyBorder="1" applyAlignment="1">
      <alignment vertical="center"/>
    </xf>
    <xf numFmtId="164" fontId="14" fillId="4" borderId="35" xfId="0" applyNumberFormat="1" applyFont="1" applyFill="1" applyBorder="1"/>
    <xf numFmtId="49" fontId="14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left" vertical="center"/>
    </xf>
    <xf numFmtId="164" fontId="14" fillId="0" borderId="0" xfId="0" applyNumberFormat="1" applyFont="1" applyFill="1" applyBorder="1"/>
    <xf numFmtId="164" fontId="14" fillId="0" borderId="0" xfId="0" applyNumberFormat="1" applyFont="1"/>
    <xf numFmtId="49" fontId="10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top" wrapText="1"/>
    </xf>
    <xf numFmtId="164" fontId="28" fillId="4" borderId="3" xfId="3" applyNumberFormat="1" applyFont="1" applyFill="1" applyBorder="1" applyAlignment="1">
      <alignment horizontal="center" wrapText="1"/>
    </xf>
    <xf numFmtId="164" fontId="9" fillId="0" borderId="5" xfId="6" applyNumberFormat="1" applyFont="1" applyBorder="1" applyAlignment="1"/>
    <xf numFmtId="164" fontId="10" fillId="0" borderId="5" xfId="6" applyNumberFormat="1" applyFont="1" applyBorder="1" applyAlignment="1"/>
    <xf numFmtId="164" fontId="27" fillId="0" borderId="5" xfId="6" applyNumberFormat="1" applyFont="1" applyBorder="1" applyAlignment="1"/>
    <xf numFmtId="164" fontId="9" fillId="4" borderId="8" xfId="6" applyNumberFormat="1" applyFont="1" applyFill="1" applyBorder="1" applyAlignment="1"/>
    <xf numFmtId="164" fontId="35" fillId="4" borderId="28" xfId="5" applyNumberFormat="1" applyFont="1" applyFill="1" applyBorder="1" applyAlignment="1">
      <alignment horizontal="center" vertical="center" wrapText="1"/>
    </xf>
    <xf numFmtId="164" fontId="35" fillId="4" borderId="31" xfId="5" applyNumberFormat="1" applyFont="1" applyFill="1" applyBorder="1" applyAlignment="1">
      <alignment horizontal="center" vertical="center" wrapText="1"/>
    </xf>
    <xf numFmtId="14" fontId="35" fillId="4" borderId="31" xfId="5" applyNumberFormat="1" applyFont="1" applyFill="1" applyBorder="1" applyAlignment="1">
      <alignment horizontal="center" wrapText="1"/>
    </xf>
    <xf numFmtId="164" fontId="15" fillId="0" borderId="30" xfId="0" applyNumberFormat="1" applyFont="1" applyBorder="1"/>
    <xf numFmtId="164" fontId="15" fillId="0" borderId="31" xfId="5" applyNumberFormat="1" applyFont="1" applyBorder="1" applyAlignment="1">
      <alignment wrapText="1"/>
    </xf>
    <xf numFmtId="164" fontId="15" fillId="0" borderId="31" xfId="5" applyNumberFormat="1" applyFont="1" applyFill="1" applyBorder="1" applyAlignment="1">
      <alignment wrapText="1"/>
    </xf>
    <xf numFmtId="164" fontId="15" fillId="0" borderId="31" xfId="5" applyNumberFormat="1" applyFont="1" applyFill="1" applyBorder="1"/>
    <xf numFmtId="164" fontId="15" fillId="0" borderId="32" xfId="5" applyNumberFormat="1" applyFont="1" applyFill="1" applyBorder="1"/>
    <xf numFmtId="164" fontId="14" fillId="4" borderId="31" xfId="5" applyNumberFormat="1" applyFont="1" applyFill="1" applyBorder="1" applyAlignment="1">
      <alignment wrapText="1"/>
    </xf>
    <xf numFmtId="164" fontId="14" fillId="4" borderId="32" xfId="5" applyNumberFormat="1" applyFont="1" applyFill="1" applyBorder="1" applyAlignment="1">
      <alignment wrapText="1"/>
    </xf>
    <xf numFmtId="164" fontId="15" fillId="0" borderId="30" xfId="0" applyNumberFormat="1" applyFont="1" applyBorder="1" applyAlignment="1">
      <alignment horizontal="left"/>
    </xf>
    <xf numFmtId="164" fontId="15" fillId="0" borderId="31" xfId="5" applyNumberFormat="1" applyFont="1" applyFill="1" applyBorder="1" applyAlignment="1">
      <alignment horizontal="center"/>
    </xf>
    <xf numFmtId="164" fontId="15" fillId="0" borderId="32" xfId="5" applyNumberFormat="1" applyFont="1" applyFill="1" applyBorder="1" applyAlignment="1">
      <alignment horizontal="center"/>
    </xf>
    <xf numFmtId="164" fontId="15" fillId="0" borderId="33" xfId="0" applyNumberFormat="1" applyFont="1" applyBorder="1"/>
    <xf numFmtId="164" fontId="15" fillId="0" borderId="35" xfId="5" applyNumberFormat="1" applyFont="1" applyFill="1" applyBorder="1"/>
    <xf numFmtId="164" fontId="15" fillId="0" borderId="36" xfId="5" applyNumberFormat="1" applyFont="1" applyFill="1" applyBorder="1"/>
    <xf numFmtId="164" fontId="5" fillId="0" borderId="0" xfId="0" applyNumberFormat="1" applyFont="1" applyBorder="1" applyAlignment="1">
      <alignment horizontal="left" vertical="top"/>
    </xf>
    <xf numFmtId="164" fontId="4" fillId="0" borderId="0" xfId="0" applyNumberFormat="1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vertical="top" wrapText="1"/>
    </xf>
    <xf numFmtId="49" fontId="28" fillId="4" borderId="1" xfId="0" applyNumberFormat="1" applyFont="1" applyFill="1" applyBorder="1" applyAlignment="1">
      <alignment horizontal="center" vertical="center"/>
    </xf>
    <xf numFmtId="164" fontId="28" fillId="4" borderId="2" xfId="0" applyNumberFormat="1" applyFont="1" applyFill="1" applyBorder="1" applyAlignment="1">
      <alignment horizontal="center" vertical="center" wrapText="1"/>
    </xf>
    <xf numFmtId="164" fontId="28" fillId="4" borderId="2" xfId="3" applyNumberFormat="1" applyFont="1" applyFill="1" applyBorder="1" applyAlignment="1">
      <alignment horizontal="center" wrapText="1"/>
    </xf>
    <xf numFmtId="49" fontId="9" fillId="0" borderId="4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wrapText="1"/>
    </xf>
    <xf numFmtId="164" fontId="9" fillId="0" borderId="0" xfId="0" applyNumberFormat="1" applyFont="1" applyBorder="1"/>
    <xf numFmtId="164" fontId="9" fillId="0" borderId="5" xfId="0" applyNumberFormat="1" applyFont="1" applyBorder="1"/>
    <xf numFmtId="49" fontId="10" fillId="0" borderId="4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wrapText="1"/>
    </xf>
    <xf numFmtId="164" fontId="10" fillId="0" borderId="5" xfId="0" applyNumberFormat="1" applyFont="1" applyBorder="1"/>
    <xf numFmtId="164" fontId="9" fillId="4" borderId="7" xfId="0" applyNumberFormat="1" applyFont="1" applyFill="1" applyBorder="1"/>
    <xf numFmtId="164" fontId="9" fillId="4" borderId="8" xfId="0" applyNumberFormat="1" applyFont="1" applyFill="1" applyBorder="1"/>
    <xf numFmtId="49" fontId="10" fillId="0" borderId="0" xfId="0" applyNumberFormat="1" applyFont="1" applyAlignment="1">
      <alignment vertical="center"/>
    </xf>
    <xf numFmtId="164" fontId="28" fillId="4" borderId="2" xfId="0" applyNumberFormat="1" applyFont="1" applyFill="1" applyBorder="1" applyAlignment="1" applyProtection="1">
      <alignment horizontal="center" vertical="center" wrapText="1"/>
    </xf>
    <xf numFmtId="164" fontId="28" fillId="4" borderId="3" xfId="0" applyNumberFormat="1" applyFont="1" applyFill="1" applyBorder="1" applyAlignment="1" applyProtection="1">
      <alignment horizontal="center" vertical="center" wrapText="1"/>
    </xf>
    <xf numFmtId="49" fontId="27" fillId="0" borderId="4" xfId="0" applyNumberFormat="1" applyFont="1" applyBorder="1" applyAlignment="1">
      <alignment horizontal="center" vertical="center"/>
    </xf>
    <xf numFmtId="164" fontId="27" fillId="0" borderId="0" xfId="0" applyNumberFormat="1" applyFont="1" applyBorder="1" applyAlignment="1">
      <alignment wrapText="1"/>
    </xf>
    <xf numFmtId="164" fontId="27" fillId="0" borderId="0" xfId="0" applyNumberFormat="1" applyFont="1" applyBorder="1"/>
    <xf numFmtId="164" fontId="27" fillId="0" borderId="5" xfId="0" applyNumberFormat="1" applyFont="1" applyBorder="1"/>
    <xf numFmtId="164" fontId="27" fillId="0" borderId="6" xfId="0" applyNumberFormat="1" applyFont="1" applyBorder="1" applyAlignment="1">
      <alignment horizontal="center"/>
    </xf>
    <xf numFmtId="164" fontId="27" fillId="0" borderId="7" xfId="0" applyNumberFormat="1" applyFont="1" applyBorder="1"/>
    <xf numFmtId="164" fontId="27" fillId="0" borderId="8" xfId="0" applyNumberFormat="1" applyFont="1" applyBorder="1"/>
    <xf numFmtId="164" fontId="10" fillId="2" borderId="0" xfId="0" applyNumberFormat="1" applyFont="1" applyFill="1" applyBorder="1"/>
    <xf numFmtId="164" fontId="4" fillId="2" borderId="0" xfId="0" applyNumberFormat="1" applyFont="1" applyFill="1" applyBorder="1" applyAlignment="1">
      <alignment vertical="top" wrapText="1"/>
    </xf>
    <xf numFmtId="0" fontId="36" fillId="5" borderId="1" xfId="0" applyFont="1" applyFill="1" applyBorder="1" applyAlignment="1">
      <alignment horizontal="center" vertical="center"/>
    </xf>
    <xf numFmtId="0" fontId="36" fillId="5" borderId="2" xfId="0" applyFont="1" applyFill="1" applyBorder="1" applyAlignment="1">
      <alignment horizontal="center" vertical="center" wrapText="1"/>
    </xf>
    <xf numFmtId="4" fontId="36" fillId="5" borderId="2" xfId="0" applyNumberFormat="1" applyFont="1" applyFill="1" applyBorder="1" applyAlignment="1">
      <alignment horizontal="center" vertical="center"/>
    </xf>
    <xf numFmtId="4" fontId="36" fillId="5" borderId="3" xfId="0" applyNumberFormat="1" applyFont="1" applyFill="1" applyBorder="1" applyAlignment="1">
      <alignment horizontal="center" vertical="center"/>
    </xf>
    <xf numFmtId="0" fontId="37" fillId="6" borderId="4" xfId="0" applyFont="1" applyFill="1" applyBorder="1" applyAlignment="1">
      <alignment horizontal="center" vertical="center"/>
    </xf>
    <xf numFmtId="0" fontId="37" fillId="6" borderId="0" xfId="0" applyFont="1" applyFill="1" applyAlignment="1">
      <alignment vertical="center" wrapText="1"/>
    </xf>
    <xf numFmtId="4" fontId="37" fillId="6" borderId="0" xfId="0" applyNumberFormat="1" applyFont="1" applyFill="1" applyAlignment="1">
      <alignment horizontal="right" vertical="center"/>
    </xf>
    <xf numFmtId="4" fontId="37" fillId="6" borderId="5" xfId="0" applyNumberFormat="1" applyFont="1" applyFill="1" applyBorder="1" applyAlignment="1">
      <alignment horizontal="right" vertical="center"/>
    </xf>
    <xf numFmtId="0" fontId="38" fillId="6" borderId="0" xfId="0" applyFont="1" applyFill="1" applyAlignment="1">
      <alignment vertical="center" wrapText="1"/>
    </xf>
    <xf numFmtId="4" fontId="38" fillId="6" borderId="0" xfId="0" applyNumberFormat="1" applyFont="1" applyFill="1" applyAlignment="1">
      <alignment vertical="center"/>
    </xf>
    <xf numFmtId="4" fontId="38" fillId="6" borderId="5" xfId="0" applyNumberFormat="1" applyFont="1" applyFill="1" applyBorder="1" applyAlignment="1">
      <alignment vertical="center"/>
    </xf>
    <xf numFmtId="0" fontId="39" fillId="6" borderId="4" xfId="0" applyFont="1" applyFill="1" applyBorder="1" applyAlignment="1">
      <alignment horizontal="center" vertical="center"/>
    </xf>
    <xf numFmtId="0" fontId="39" fillId="6" borderId="0" xfId="0" applyFont="1" applyFill="1" applyAlignment="1">
      <alignment vertical="center" wrapText="1"/>
    </xf>
    <xf numFmtId="4" fontId="38" fillId="6" borderId="0" xfId="0" applyNumberFormat="1" applyFont="1" applyFill="1" applyAlignment="1">
      <alignment horizontal="right" vertical="center"/>
    </xf>
    <xf numFmtId="4" fontId="36" fillId="5" borderId="7" xfId="0" applyNumberFormat="1" applyFont="1" applyFill="1" applyBorder="1" applyAlignment="1">
      <alignment horizontal="right" vertical="center"/>
    </xf>
    <xf numFmtId="4" fontId="36" fillId="5" borderId="8" xfId="0" applyNumberFormat="1" applyFont="1" applyFill="1" applyBorder="1" applyAlignment="1">
      <alignment horizontal="right" vertical="center"/>
    </xf>
    <xf numFmtId="4" fontId="38" fillId="6" borderId="5" xfId="0" applyNumberFormat="1" applyFont="1" applyFill="1" applyBorder="1" applyAlignment="1">
      <alignment horizontal="right" vertical="center"/>
    </xf>
    <xf numFmtId="0" fontId="29" fillId="3" borderId="0" xfId="4" applyNumberFormat="1" applyFill="1"/>
    <xf numFmtId="164" fontId="29" fillId="3" borderId="0" xfId="4" applyNumberFormat="1" applyFill="1"/>
    <xf numFmtId="0" fontId="15" fillId="3" borderId="0" xfId="0" applyFont="1" applyFill="1"/>
    <xf numFmtId="0" fontId="14" fillId="7" borderId="37" xfId="0" applyFont="1" applyFill="1" applyBorder="1" applyAlignment="1">
      <alignment vertical="center"/>
    </xf>
    <xf numFmtId="4" fontId="14" fillId="7" borderId="15" xfId="0" applyNumberFormat="1" applyFont="1" applyFill="1" applyBorder="1" applyAlignment="1">
      <alignment horizontal="center" vertical="center" wrapText="1"/>
    </xf>
    <xf numFmtId="4" fontId="14" fillId="7" borderId="17" xfId="0" applyNumberFormat="1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left" vertical="center" wrapText="1"/>
    </xf>
    <xf numFmtId="4" fontId="14" fillId="4" borderId="11" xfId="10" applyNumberFormat="1" applyFont="1" applyFill="1" applyBorder="1" applyAlignment="1">
      <alignment horizontal="right" vertical="center" wrapText="1"/>
    </xf>
    <xf numFmtId="4" fontId="14" fillId="4" borderId="12" xfId="0" applyNumberFormat="1" applyFont="1" applyFill="1" applyBorder="1" applyAlignment="1">
      <alignment horizontal="right" vertical="center" wrapText="1"/>
    </xf>
    <xf numFmtId="0" fontId="15" fillId="3" borderId="4" xfId="0" applyFont="1" applyFill="1" applyBorder="1" applyAlignment="1">
      <alignment horizontal="left" vertical="center" wrapText="1"/>
    </xf>
    <xf numFmtId="4" fontId="15" fillId="3" borderId="0" xfId="0" applyNumberFormat="1" applyFont="1" applyFill="1" applyBorder="1" applyAlignment="1">
      <alignment horizontal="right" vertical="center" wrapText="1"/>
    </xf>
    <xf numFmtId="4" fontId="15" fillId="3" borderId="5" xfId="0" applyNumberFormat="1" applyFont="1" applyFill="1" applyBorder="1" applyAlignment="1">
      <alignment horizontal="right" vertical="center" wrapText="1"/>
    </xf>
    <xf numFmtId="4" fontId="14" fillId="4" borderId="11" xfId="0" applyNumberFormat="1" applyFont="1" applyFill="1" applyBorder="1" applyAlignment="1">
      <alignment horizontal="right" vertical="center" wrapText="1"/>
    </xf>
    <xf numFmtId="4" fontId="15" fillId="3" borderId="0" xfId="0" applyNumberFormat="1" applyFont="1" applyFill="1" applyBorder="1" applyAlignment="1">
      <alignment horizontal="right" vertical="center"/>
    </xf>
    <xf numFmtId="4" fontId="15" fillId="3" borderId="5" xfId="0" applyNumberFormat="1" applyFont="1" applyFill="1" applyBorder="1" applyAlignment="1">
      <alignment horizontal="right" vertical="center"/>
    </xf>
    <xf numFmtId="0" fontId="14" fillId="4" borderId="4" xfId="0" applyFont="1" applyFill="1" applyBorder="1" applyAlignment="1">
      <alignment horizontal="left" vertical="center" wrapText="1"/>
    </xf>
    <xf numFmtId="4" fontId="14" fillId="4" borderId="0" xfId="0" applyNumberFormat="1" applyFont="1" applyFill="1" applyBorder="1" applyAlignment="1">
      <alignment horizontal="right" vertical="center"/>
    </xf>
    <xf numFmtId="4" fontId="14" fillId="4" borderId="5" xfId="0" applyNumberFormat="1" applyFont="1" applyFill="1" applyBorder="1" applyAlignment="1">
      <alignment horizontal="right" vertical="center"/>
    </xf>
    <xf numFmtId="0" fontId="15" fillId="3" borderId="4" xfId="0" applyFont="1" applyFill="1" applyBorder="1"/>
    <xf numFmtId="4" fontId="15" fillId="3" borderId="0" xfId="0" applyNumberFormat="1" applyFont="1" applyFill="1" applyBorder="1"/>
    <xf numFmtId="4" fontId="15" fillId="3" borderId="5" xfId="0" applyNumberFormat="1" applyFont="1" applyFill="1" applyBorder="1"/>
    <xf numFmtId="0" fontId="14" fillId="7" borderId="6" xfId="0" applyFont="1" applyFill="1" applyBorder="1"/>
    <xf numFmtId="4" fontId="14" fillId="7" borderId="7" xfId="0" applyNumberFormat="1" applyFont="1" applyFill="1" applyBorder="1"/>
    <xf numFmtId="4" fontId="14" fillId="7" borderId="8" xfId="0" applyNumberFormat="1" applyFont="1" applyFill="1" applyBorder="1"/>
    <xf numFmtId="0" fontId="15" fillId="3" borderId="1" xfId="0" applyFont="1" applyFill="1" applyBorder="1" applyAlignment="1">
      <alignment horizontal="left" vertical="center" wrapText="1"/>
    </xf>
    <xf numFmtId="4" fontId="14" fillId="3" borderId="2" xfId="0" applyNumberFormat="1" applyFont="1" applyFill="1" applyBorder="1"/>
    <xf numFmtId="4" fontId="14" fillId="3" borderId="5" xfId="0" applyNumberFormat="1" applyFont="1" applyFill="1" applyBorder="1"/>
    <xf numFmtId="0" fontId="14" fillId="3" borderId="6" xfId="0" applyFont="1" applyFill="1" applyBorder="1" applyAlignment="1">
      <alignment horizontal="left" vertical="center" wrapText="1"/>
    </xf>
    <xf numFmtId="4" fontId="14" fillId="3" borderId="7" xfId="0" applyNumberFormat="1" applyFont="1" applyFill="1" applyBorder="1"/>
    <xf numFmtId="4" fontId="14" fillId="3" borderId="8" xfId="0" applyNumberFormat="1" applyFont="1" applyFill="1" applyBorder="1"/>
    <xf numFmtId="0" fontId="14" fillId="3" borderId="0" xfId="0" applyFont="1" applyFill="1" applyBorder="1"/>
    <xf numFmtId="4" fontId="14" fillId="3" borderId="0" xfId="0" applyNumberFormat="1" applyFont="1" applyFill="1" applyBorder="1"/>
    <xf numFmtId="4" fontId="15" fillId="3" borderId="0" xfId="0" applyNumberFormat="1" applyFont="1" applyFill="1"/>
    <xf numFmtId="0" fontId="40" fillId="3" borderId="0" xfId="0" applyFont="1" applyFill="1"/>
    <xf numFmtId="4" fontId="40" fillId="3" borderId="0" xfId="0" applyNumberFormat="1" applyFont="1" applyFill="1"/>
    <xf numFmtId="49" fontId="9" fillId="4" borderId="1" xfId="0" applyNumberFormat="1" applyFont="1" applyFill="1" applyBorder="1" applyAlignment="1">
      <alignment horizontal="center" vertical="top"/>
    </xf>
    <xf numFmtId="164" fontId="9" fillId="4" borderId="2" xfId="0" applyNumberFormat="1" applyFont="1" applyFill="1" applyBorder="1" applyAlignment="1">
      <alignment horizontal="center" vertical="top" wrapText="1"/>
    </xf>
    <xf numFmtId="164" fontId="9" fillId="4" borderId="2" xfId="11" applyNumberFormat="1" applyFont="1" applyFill="1" applyBorder="1" applyAlignment="1">
      <alignment horizontal="center"/>
    </xf>
    <xf numFmtId="164" fontId="9" fillId="4" borderId="3" xfId="11" applyNumberFormat="1" applyFont="1" applyFill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164" fontId="9" fillId="4" borderId="7" xfId="0" applyNumberFormat="1" applyFont="1" applyFill="1" applyBorder="1" applyAlignment="1">
      <alignment horizontal="right"/>
    </xf>
    <xf numFmtId="164" fontId="9" fillId="4" borderId="8" xfId="0" applyNumberFormat="1" applyFont="1" applyFill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4" fontId="9" fillId="4" borderId="8" xfId="0" applyNumberFormat="1" applyFont="1" applyFill="1" applyBorder="1"/>
    <xf numFmtId="4" fontId="9" fillId="4" borderId="8" xfId="0" applyNumberFormat="1" applyFont="1" applyFill="1" applyBorder="1" applyAlignment="1">
      <alignment wrapText="1"/>
    </xf>
    <xf numFmtId="0" fontId="37" fillId="6" borderId="0" xfId="0" applyFont="1" applyFill="1" applyBorder="1" applyAlignment="1">
      <alignment vertical="center" wrapText="1"/>
    </xf>
    <xf numFmtId="4" fontId="37" fillId="6" borderId="0" xfId="0" applyNumberFormat="1" applyFont="1" applyFill="1" applyBorder="1" applyAlignment="1">
      <alignment horizontal="right" vertical="center"/>
    </xf>
    <xf numFmtId="0" fontId="39" fillId="6" borderId="0" xfId="0" applyFont="1" applyFill="1" applyBorder="1" applyAlignment="1">
      <alignment vertical="center" wrapText="1"/>
    </xf>
    <xf numFmtId="4" fontId="38" fillId="6" borderId="0" xfId="0" applyNumberFormat="1" applyFont="1" applyFill="1" applyBorder="1" applyAlignment="1">
      <alignment vertical="center"/>
    </xf>
    <xf numFmtId="4" fontId="38" fillId="6" borderId="0" xfId="0" applyNumberFormat="1" applyFont="1" applyFill="1" applyBorder="1" applyAlignment="1">
      <alignment horizontal="right" vertical="center"/>
    </xf>
    <xf numFmtId="49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/>
    </xf>
    <xf numFmtId="3" fontId="10" fillId="4" borderId="24" xfId="0" applyNumberFormat="1" applyFont="1" applyFill="1" applyBorder="1" applyProtection="1">
      <protection locked="0"/>
    </xf>
    <xf numFmtId="0" fontId="0" fillId="0" borderId="0" xfId="0" applyFill="1"/>
    <xf numFmtId="4" fontId="0" fillId="0" borderId="0" xfId="0" applyNumberFormat="1" applyFill="1"/>
    <xf numFmtId="164" fontId="4" fillId="2" borderId="0" xfId="7" applyNumberFormat="1" applyFont="1" applyFill="1" applyBorder="1" applyAlignment="1">
      <alignment wrapText="1"/>
    </xf>
    <xf numFmtId="49" fontId="26" fillId="3" borderId="0" xfId="0" applyNumberFormat="1" applyFont="1" applyFill="1" applyBorder="1" applyAlignment="1">
      <alignment horizontal="center" vertical="center"/>
    </xf>
    <xf numFmtId="164" fontId="26" fillId="3" borderId="0" xfId="0" applyNumberFormat="1" applyFont="1" applyFill="1" applyBorder="1" applyAlignment="1"/>
    <xf numFmtId="164" fontId="9" fillId="3" borderId="0" xfId="0" applyNumberFormat="1" applyFont="1" applyFill="1" applyBorder="1" applyAlignment="1"/>
    <xf numFmtId="164" fontId="9" fillId="3" borderId="5" xfId="0" applyNumberFormat="1" applyFont="1" applyFill="1" applyBorder="1" applyAlignment="1"/>
    <xf numFmtId="49" fontId="27" fillId="3" borderId="4" xfId="0" applyNumberFormat="1" applyFont="1" applyFill="1" applyBorder="1" applyAlignment="1">
      <alignment horizontal="center" vertical="center"/>
    </xf>
    <xf numFmtId="164" fontId="27" fillId="3" borderId="0" xfId="0" applyNumberFormat="1" applyFont="1" applyFill="1" applyBorder="1" applyAlignment="1">
      <alignment wrapText="1"/>
    </xf>
    <xf numFmtId="164" fontId="20" fillId="3" borderId="0" xfId="0" applyNumberFormat="1" applyFont="1" applyFill="1" applyBorder="1" applyAlignment="1"/>
    <xf numFmtId="164" fontId="10" fillId="3" borderId="0" xfId="0" applyNumberFormat="1" applyFont="1" applyFill="1" applyBorder="1" applyAlignment="1"/>
    <xf numFmtId="164" fontId="27" fillId="3" borderId="0" xfId="0" applyNumberFormat="1" applyFont="1" applyFill="1" applyBorder="1" applyAlignment="1"/>
    <xf numFmtId="0" fontId="16" fillId="3" borderId="0" xfId="0" applyNumberFormat="1" applyFont="1" applyFill="1" applyBorder="1" applyAlignment="1">
      <alignment horizontal="center" vertical="center" wrapText="1"/>
    </xf>
    <xf numFmtId="164" fontId="10" fillId="3" borderId="5" xfId="0" applyNumberFormat="1" applyFont="1" applyFill="1" applyBorder="1" applyAlignment="1"/>
    <xf numFmtId="164" fontId="5" fillId="3" borderId="5" xfId="0" applyNumberFormat="1" applyFont="1" applyFill="1" applyBorder="1" applyAlignment="1"/>
    <xf numFmtId="49" fontId="9" fillId="4" borderId="6" xfId="0" applyNumberFormat="1" applyFont="1" applyFill="1" applyBorder="1" applyAlignment="1">
      <alignment horizontal="center" vertical="center"/>
    </xf>
    <xf numFmtId="164" fontId="9" fillId="4" borderId="7" xfId="0" applyNumberFormat="1" applyFont="1" applyFill="1" applyBorder="1" applyAlignment="1">
      <alignment wrapText="1"/>
    </xf>
    <xf numFmtId="164" fontId="9" fillId="4" borderId="7" xfId="0" applyNumberFormat="1" applyFont="1" applyFill="1" applyBorder="1" applyAlignment="1"/>
    <xf numFmtId="164" fontId="9" fillId="4" borderId="8" xfId="0" applyNumberFormat="1" applyFont="1" applyFill="1" applyBorder="1" applyAlignment="1"/>
    <xf numFmtId="49" fontId="6" fillId="4" borderId="6" xfId="8" applyNumberFormat="1" applyFont="1" applyFill="1" applyBorder="1" applyAlignment="1">
      <alignment horizontal="center" vertical="center"/>
    </xf>
    <xf numFmtId="164" fontId="6" fillId="4" borderId="7" xfId="8" applyNumberFormat="1" applyFont="1" applyFill="1" applyBorder="1" applyAlignment="1">
      <alignment wrapText="1"/>
    </xf>
    <xf numFmtId="164" fontId="6" fillId="4" borderId="7" xfId="8" applyNumberFormat="1" applyFont="1" applyFill="1" applyBorder="1"/>
    <xf numFmtId="164" fontId="6" fillId="4" borderId="8" xfId="8" applyNumberFormat="1" applyFont="1" applyFill="1" applyBorder="1"/>
    <xf numFmtId="49" fontId="3" fillId="3" borderId="0" xfId="5" applyNumberFormat="1" applyFont="1" applyFill="1" applyAlignment="1">
      <alignment horizontal="left" vertical="center"/>
    </xf>
    <xf numFmtId="164" fontId="32" fillId="3" borderId="0" xfId="5" applyNumberFormat="1" applyFont="1" applyFill="1" applyAlignment="1">
      <alignment horizontal="center" wrapText="1"/>
    </xf>
    <xf numFmtId="164" fontId="9" fillId="3" borderId="0" xfId="5" applyNumberFormat="1" applyFont="1" applyFill="1"/>
    <xf numFmtId="164" fontId="10" fillId="3" borderId="0" xfId="5" applyNumberFormat="1" applyFont="1" applyFill="1"/>
    <xf numFmtId="164" fontId="10" fillId="3" borderId="0" xfId="5" applyNumberFormat="1" applyFont="1" applyFill="1" applyBorder="1"/>
    <xf numFmtId="164" fontId="4" fillId="3" borderId="0" xfId="5" applyNumberFormat="1" applyFont="1" applyFill="1" applyBorder="1" applyAlignment="1">
      <alignment vertical="top" wrapText="1"/>
    </xf>
    <xf numFmtId="49" fontId="10" fillId="3" borderId="4" xfId="5" applyNumberFormat="1" applyFont="1" applyFill="1" applyBorder="1" applyAlignment="1">
      <alignment horizontal="center" vertical="center"/>
    </xf>
    <xf numFmtId="164" fontId="10" fillId="3" borderId="0" xfId="5" applyNumberFormat="1" applyFont="1" applyFill="1" applyBorder="1" applyAlignment="1">
      <alignment wrapText="1"/>
    </xf>
    <xf numFmtId="164" fontId="10" fillId="3" borderId="5" xfId="5" applyNumberFormat="1" applyFont="1" applyFill="1" applyBorder="1"/>
    <xf numFmtId="164" fontId="9" fillId="3" borderId="0" xfId="5" applyNumberFormat="1" applyFont="1" applyFill="1" applyBorder="1"/>
    <xf numFmtId="164" fontId="9" fillId="3" borderId="5" xfId="5" applyNumberFormat="1" applyFont="1" applyFill="1" applyBorder="1"/>
    <xf numFmtId="164" fontId="5" fillId="3" borderId="0" xfId="5" applyNumberFormat="1" applyFont="1" applyFill="1" applyBorder="1"/>
    <xf numFmtId="164" fontId="5" fillId="3" borderId="5" xfId="5" applyNumberFormat="1" applyFont="1" applyFill="1" applyBorder="1"/>
    <xf numFmtId="49" fontId="10" fillId="3" borderId="0" xfId="8" applyNumberFormat="1" applyFont="1" applyFill="1" applyAlignment="1">
      <alignment horizontal="center" vertical="center"/>
    </xf>
    <xf numFmtId="164" fontId="10" fillId="3" borderId="0" xfId="8" applyNumberFormat="1" applyFont="1" applyFill="1" applyAlignment="1">
      <alignment wrapText="1"/>
    </xf>
    <xf numFmtId="164" fontId="10" fillId="3" borderId="0" xfId="8" applyNumberFormat="1" applyFont="1" applyFill="1"/>
    <xf numFmtId="164" fontId="4" fillId="3" borderId="0" xfId="5" applyNumberFormat="1" applyFont="1" applyFill="1" applyBorder="1" applyAlignment="1">
      <alignment horizontal="left" vertical="top" wrapText="1"/>
    </xf>
    <xf numFmtId="49" fontId="6" fillId="3" borderId="4" xfId="8" applyNumberFormat="1" applyFont="1" applyFill="1" applyBorder="1" applyAlignment="1">
      <alignment horizontal="center" vertical="center"/>
    </xf>
    <xf numFmtId="164" fontId="6" fillId="3" borderId="0" xfId="8" applyNumberFormat="1" applyFont="1" applyFill="1" applyBorder="1" applyAlignment="1">
      <alignment wrapText="1"/>
    </xf>
    <xf numFmtId="164" fontId="6" fillId="3" borderId="0" xfId="8" applyNumberFormat="1" applyFont="1" applyFill="1" applyBorder="1"/>
    <xf numFmtId="164" fontId="6" fillId="3" borderId="5" xfId="8" applyNumberFormat="1" applyFont="1" applyFill="1" applyBorder="1"/>
    <xf numFmtId="164" fontId="6" fillId="3" borderId="0" xfId="8" applyNumberFormat="1" applyFont="1" applyFill="1"/>
    <xf numFmtId="49" fontId="10" fillId="3" borderId="4" xfId="8" applyNumberFormat="1" applyFont="1" applyFill="1" applyBorder="1" applyAlignment="1">
      <alignment horizontal="center" vertical="center"/>
    </xf>
    <xf numFmtId="164" fontId="10" fillId="3" borderId="0" xfId="8" applyNumberFormat="1" applyFont="1" applyFill="1" applyBorder="1" applyAlignment="1">
      <alignment wrapText="1"/>
    </xf>
    <xf numFmtId="164" fontId="10" fillId="3" borderId="5" xfId="8" applyNumberFormat="1" applyFont="1" applyFill="1" applyBorder="1"/>
    <xf numFmtId="49" fontId="9" fillId="3" borderId="4" xfId="8" applyNumberFormat="1" applyFont="1" applyFill="1" applyBorder="1" applyAlignment="1">
      <alignment horizontal="center" vertical="center"/>
    </xf>
    <xf numFmtId="164" fontId="9" fillId="3" borderId="0" xfId="8" applyNumberFormat="1" applyFont="1" applyFill="1" applyBorder="1" applyAlignment="1">
      <alignment wrapText="1"/>
    </xf>
    <xf numFmtId="164" fontId="9" fillId="3" borderId="5" xfId="8" applyNumberFormat="1" applyFont="1" applyFill="1" applyBorder="1"/>
    <xf numFmtId="4" fontId="33" fillId="3" borderId="0" xfId="4" applyNumberFormat="1" applyFont="1" applyFill="1"/>
    <xf numFmtId="164" fontId="9" fillId="3" borderId="0" xfId="8" applyNumberFormat="1" applyFont="1" applyFill="1"/>
    <xf numFmtId="4" fontId="23" fillId="3" borderId="0" xfId="4" applyNumberFormat="1" applyFont="1" applyFill="1" applyAlignment="1">
      <alignment horizontal="right"/>
    </xf>
    <xf numFmtId="4" fontId="23" fillId="3" borderId="0" xfId="4" applyNumberFormat="1" applyFont="1" applyFill="1"/>
    <xf numFmtId="164" fontId="10" fillId="3" borderId="0" xfId="6" applyNumberFormat="1" applyFont="1" applyFill="1" applyBorder="1"/>
    <xf numFmtId="164" fontId="4" fillId="3" borderId="0" xfId="6" applyNumberFormat="1" applyFont="1" applyFill="1" applyBorder="1" applyAlignment="1">
      <alignment vertical="top" wrapText="1"/>
    </xf>
    <xf numFmtId="164" fontId="9" fillId="3" borderId="18" xfId="6" applyNumberFormat="1" applyFont="1" applyFill="1" applyBorder="1" applyAlignment="1">
      <alignment wrapText="1"/>
    </xf>
    <xf numFmtId="164" fontId="9" fillId="3" borderId="19" xfId="6" applyNumberFormat="1" applyFont="1" applyFill="1" applyBorder="1"/>
    <xf numFmtId="164" fontId="9" fillId="3" borderId="0" xfId="6" applyNumberFormat="1" applyFont="1" applyFill="1" applyBorder="1"/>
    <xf numFmtId="164" fontId="9" fillId="3" borderId="18" xfId="6" applyNumberFormat="1" applyFont="1" applyFill="1" applyBorder="1"/>
    <xf numFmtId="164" fontId="10" fillId="3" borderId="18" xfId="6" applyNumberFormat="1" applyFont="1" applyFill="1" applyBorder="1" applyAlignment="1">
      <alignment wrapText="1"/>
    </xf>
    <xf numFmtId="164" fontId="10" fillId="3" borderId="19" xfId="6" applyNumberFormat="1" applyFont="1" applyFill="1" applyBorder="1"/>
    <xf numFmtId="164" fontId="10" fillId="3" borderId="18" xfId="6" applyNumberFormat="1" applyFont="1" applyFill="1" applyBorder="1"/>
    <xf numFmtId="164" fontId="10" fillId="3" borderId="18" xfId="6" quotePrefix="1" applyNumberFormat="1" applyFont="1" applyFill="1" applyBorder="1" applyAlignment="1">
      <alignment wrapText="1"/>
    </xf>
    <xf numFmtId="49" fontId="10" fillId="3" borderId="0" xfId="6" applyNumberFormat="1" applyFont="1" applyFill="1" applyAlignment="1">
      <alignment horizontal="center" vertical="center"/>
    </xf>
    <xf numFmtId="164" fontId="10" fillId="3" borderId="0" xfId="6" applyNumberFormat="1" applyFont="1" applyFill="1" applyAlignment="1">
      <alignment wrapText="1"/>
    </xf>
    <xf numFmtId="164" fontId="10" fillId="3" borderId="0" xfId="6" applyNumberFormat="1" applyFont="1" applyFill="1"/>
    <xf numFmtId="164" fontId="9" fillId="3" borderId="0" xfId="6" applyNumberFormat="1" applyFont="1" applyFill="1" applyAlignment="1">
      <alignment horizontal="center" vertical="center" wrapText="1"/>
    </xf>
    <xf numFmtId="49" fontId="9" fillId="3" borderId="4" xfId="6" applyNumberFormat="1" applyFont="1" applyFill="1" applyBorder="1" applyAlignment="1">
      <alignment horizontal="center" vertical="center" wrapText="1"/>
    </xf>
    <xf numFmtId="164" fontId="9" fillId="3" borderId="0" xfId="6" applyNumberFormat="1" applyFont="1" applyFill="1" applyBorder="1" applyAlignment="1">
      <alignment horizontal="left" vertical="center" wrapText="1"/>
    </xf>
    <xf numFmtId="164" fontId="9" fillId="3" borderId="0" xfId="6" applyNumberFormat="1" applyFont="1" applyFill="1" applyBorder="1" applyAlignment="1">
      <alignment vertical="center" wrapText="1"/>
    </xf>
    <xf numFmtId="164" fontId="9" fillId="3" borderId="5" xfId="6" applyNumberFormat="1" applyFont="1" applyFill="1" applyBorder="1" applyAlignment="1">
      <alignment vertical="center" wrapText="1"/>
    </xf>
    <xf numFmtId="49" fontId="10" fillId="3" borderId="4" xfId="6" applyNumberFormat="1" applyFont="1" applyFill="1" applyBorder="1" applyAlignment="1">
      <alignment horizontal="center" vertical="center" wrapText="1"/>
    </xf>
    <xf numFmtId="164" fontId="10" fillId="3" borderId="0" xfId="6" applyNumberFormat="1" applyFont="1" applyFill="1" applyBorder="1" applyAlignment="1">
      <alignment horizontal="left" vertical="center" wrapText="1"/>
    </xf>
    <xf numFmtId="164" fontId="10" fillId="3" borderId="0" xfId="6" applyNumberFormat="1" applyFont="1" applyFill="1" applyBorder="1" applyAlignment="1">
      <alignment vertical="center" wrapText="1"/>
    </xf>
    <xf numFmtId="164" fontId="5" fillId="3" borderId="0" xfId="6" applyNumberFormat="1" applyFont="1" applyFill="1" applyBorder="1" applyAlignment="1">
      <alignment vertical="center" wrapText="1"/>
    </xf>
    <xf numFmtId="164" fontId="10" fillId="3" borderId="5" xfId="6" applyNumberFormat="1" applyFont="1" applyFill="1" applyBorder="1" applyAlignment="1">
      <alignment vertical="center" wrapText="1"/>
    </xf>
    <xf numFmtId="164" fontId="9" fillId="3" borderId="0" xfId="6" applyNumberFormat="1" applyFont="1" applyFill="1" applyBorder="1" applyAlignment="1"/>
    <xf numFmtId="164" fontId="10" fillId="3" borderId="0" xfId="6" applyNumberFormat="1" applyFont="1" applyFill="1" applyBorder="1" applyAlignment="1"/>
    <xf numFmtId="49" fontId="27" fillId="3" borderId="4" xfId="6" applyNumberFormat="1" applyFont="1" applyFill="1" applyBorder="1" applyAlignment="1">
      <alignment horizontal="center" vertical="center"/>
    </xf>
    <xf numFmtId="164" fontId="27" fillId="3" borderId="0" xfId="6" applyNumberFormat="1" applyFont="1" applyFill="1" applyBorder="1" applyAlignment="1">
      <alignment wrapText="1"/>
    </xf>
    <xf numFmtId="164" fontId="27" fillId="3" borderId="0" xfId="6" applyNumberFormat="1" applyFont="1" applyFill="1" applyBorder="1" applyAlignment="1"/>
    <xf numFmtId="164" fontId="27" fillId="3" borderId="5" xfId="6" applyNumberFormat="1" applyFont="1" applyFill="1" applyBorder="1" applyAlignment="1">
      <alignment vertical="center" wrapText="1"/>
    </xf>
    <xf numFmtId="164" fontId="27" fillId="3" borderId="0" xfId="6" applyNumberFormat="1" applyFont="1" applyFill="1"/>
    <xf numFmtId="164" fontId="9" fillId="3" borderId="0" xfId="6" applyNumberFormat="1" applyFont="1" applyFill="1" applyAlignment="1"/>
    <xf numFmtId="164" fontId="9" fillId="3" borderId="0" xfId="6" applyNumberFormat="1" applyFont="1" applyFill="1" applyBorder="1" applyAlignment="1">
      <alignment horizontal="center" wrapText="1"/>
    </xf>
    <xf numFmtId="164" fontId="30" fillId="3" borderId="0" xfId="6" applyNumberFormat="1" applyFont="1" applyFill="1" applyBorder="1"/>
    <xf numFmtId="164" fontId="27" fillId="3" borderId="0" xfId="6" applyNumberFormat="1" applyFont="1" applyFill="1" applyBorder="1"/>
    <xf numFmtId="164" fontId="3" fillId="3" borderId="0" xfId="0" applyNumberFormat="1" applyFont="1" applyFill="1" applyBorder="1" applyAlignment="1">
      <alignment wrapText="1"/>
    </xf>
    <xf numFmtId="164" fontId="4" fillId="3" borderId="0" xfId="0" applyNumberFormat="1" applyFont="1" applyFill="1" applyBorder="1" applyAlignment="1">
      <alignment wrapText="1"/>
    </xf>
    <xf numFmtId="164" fontId="12" fillId="3" borderId="0" xfId="0" applyNumberFormat="1" applyFont="1" applyFill="1" applyBorder="1" applyAlignment="1">
      <alignment wrapText="1"/>
    </xf>
    <xf numFmtId="49" fontId="5" fillId="2" borderId="0" xfId="3" applyNumberFormat="1" applyFont="1" applyFill="1" applyBorder="1" applyAlignment="1">
      <alignment horizontal="left" vertical="top" wrapText="1"/>
    </xf>
    <xf numFmtId="0" fontId="3" fillId="2" borderId="0" xfId="2" applyFont="1" applyFill="1" applyBorder="1"/>
    <xf numFmtId="49" fontId="6" fillId="2" borderId="0" xfId="3" applyNumberFormat="1" applyFont="1" applyFill="1" applyBorder="1" applyAlignment="1">
      <alignment horizontal="left" vertical="top" wrapText="1"/>
    </xf>
    <xf numFmtId="164" fontId="9" fillId="4" borderId="6" xfId="0" applyNumberFormat="1" applyFont="1" applyFill="1" applyBorder="1" applyAlignment="1">
      <alignment horizontal="center" wrapText="1"/>
    </xf>
    <xf numFmtId="164" fontId="9" fillId="4" borderId="7" xfId="0" applyNumberFormat="1" applyFont="1" applyFill="1" applyBorder="1" applyAlignment="1">
      <alignment horizontal="center" wrapText="1"/>
    </xf>
    <xf numFmtId="0" fontId="0" fillId="0" borderId="0" xfId="0" applyAlignment="1"/>
    <xf numFmtId="49" fontId="5" fillId="3" borderId="0" xfId="3" applyNumberFormat="1" applyFont="1" applyFill="1" applyBorder="1" applyAlignment="1">
      <alignment horizontal="left" vertical="top" wrapText="1"/>
    </xf>
    <xf numFmtId="164" fontId="28" fillId="4" borderId="3" xfId="2" applyNumberFormat="1" applyFont="1" applyFill="1" applyBorder="1" applyAlignment="1">
      <alignment horizontal="center" vertical="center" wrapText="1"/>
    </xf>
    <xf numFmtId="164" fontId="28" fillId="4" borderId="5" xfId="2" applyNumberFormat="1" applyFont="1" applyFill="1" applyBorder="1" applyAlignment="1">
      <alignment horizontal="center" vertical="center" wrapText="1"/>
    </xf>
    <xf numFmtId="164" fontId="4" fillId="2" borderId="0" xfId="2" applyNumberFormat="1" applyFont="1" applyFill="1" applyBorder="1" applyAlignment="1">
      <alignment wrapText="1"/>
    </xf>
    <xf numFmtId="49" fontId="28" fillId="4" borderId="1" xfId="2" applyNumberFormat="1" applyFont="1" applyFill="1" applyBorder="1" applyAlignment="1">
      <alignment horizontal="center" vertical="center"/>
    </xf>
    <xf numFmtId="49" fontId="28" fillId="4" borderId="4" xfId="2" applyNumberFormat="1" applyFont="1" applyFill="1" applyBorder="1" applyAlignment="1">
      <alignment horizontal="center" vertical="center"/>
    </xf>
    <xf numFmtId="164" fontId="28" fillId="4" borderId="2" xfId="2" applyNumberFormat="1" applyFont="1" applyFill="1" applyBorder="1" applyAlignment="1">
      <alignment horizontal="center" vertical="center" wrapText="1"/>
    </xf>
    <xf numFmtId="164" fontId="28" fillId="4" borderId="0" xfId="2" applyNumberFormat="1" applyFont="1" applyFill="1" applyBorder="1" applyAlignment="1">
      <alignment horizontal="center" vertical="center" wrapText="1"/>
    </xf>
    <xf numFmtId="164" fontId="9" fillId="4" borderId="2" xfId="2" applyNumberFormat="1" applyFont="1" applyFill="1" applyBorder="1" applyAlignment="1">
      <alignment horizontal="center" vertical="center" wrapText="1"/>
    </xf>
    <xf numFmtId="164" fontId="9" fillId="4" borderId="0" xfId="2" applyNumberFormat="1" applyFont="1" applyFill="1" applyBorder="1" applyAlignment="1">
      <alignment horizontal="center" vertical="center" wrapText="1"/>
    </xf>
    <xf numFmtId="0" fontId="3" fillId="2" borderId="0" xfId="3" applyFont="1" applyFill="1" applyBorder="1"/>
    <xf numFmtId="164" fontId="4" fillId="2" borderId="0" xfId="3" applyNumberFormat="1" applyFont="1" applyFill="1" applyBorder="1" applyAlignment="1">
      <alignment wrapText="1"/>
    </xf>
    <xf numFmtId="164" fontId="4" fillId="2" borderId="0" xfId="3" applyNumberFormat="1" applyFont="1" applyFill="1" applyBorder="1" applyAlignment="1">
      <alignment horizontal="left" wrapText="1"/>
    </xf>
    <xf numFmtId="0" fontId="0" fillId="0" borderId="0" xfId="0" applyAlignment="1">
      <alignment vertical="top"/>
    </xf>
    <xf numFmtId="164" fontId="3" fillId="2" borderId="0" xfId="5" applyNumberFormat="1" applyFont="1" applyFill="1" applyBorder="1" applyAlignment="1">
      <alignment wrapText="1"/>
    </xf>
    <xf numFmtId="164" fontId="4" fillId="2" borderId="0" xfId="6" applyNumberFormat="1" applyFont="1" applyFill="1" applyBorder="1" applyAlignment="1">
      <alignment horizontal="left" vertical="top"/>
    </xf>
    <xf numFmtId="164" fontId="4" fillId="2" borderId="0" xfId="7" applyNumberFormat="1" applyFont="1" applyFill="1" applyBorder="1" applyAlignment="1">
      <alignment wrapText="1"/>
    </xf>
    <xf numFmtId="164" fontId="4" fillId="2" borderId="0" xfId="7" applyNumberFormat="1" applyFont="1" applyFill="1" applyBorder="1" applyAlignment="1">
      <alignment horizontal="left" vertical="top" wrapText="1"/>
    </xf>
    <xf numFmtId="164" fontId="9" fillId="4" borderId="6" xfId="5" applyNumberFormat="1" applyFont="1" applyFill="1" applyBorder="1" applyAlignment="1">
      <alignment horizontal="left" wrapText="1"/>
    </xf>
    <xf numFmtId="164" fontId="9" fillId="4" borderId="7" xfId="5" applyNumberFormat="1" applyFont="1" applyFill="1" applyBorder="1" applyAlignment="1">
      <alignment horizontal="left" wrapText="1"/>
    </xf>
    <xf numFmtId="164" fontId="4" fillId="3" borderId="0" xfId="5" applyNumberFormat="1" applyFont="1" applyFill="1" applyBorder="1" applyAlignment="1">
      <alignment horizontal="left" vertical="top" wrapText="1"/>
    </xf>
    <xf numFmtId="164" fontId="6" fillId="4" borderId="2" xfId="8" applyNumberFormat="1" applyFont="1" applyFill="1" applyBorder="1" applyAlignment="1">
      <alignment horizontal="center" wrapText="1"/>
    </xf>
    <xf numFmtId="164" fontId="6" fillId="4" borderId="3" xfId="8" applyNumberFormat="1" applyFont="1" applyFill="1" applyBorder="1" applyAlignment="1">
      <alignment horizontal="center" wrapText="1"/>
    </xf>
    <xf numFmtId="164" fontId="4" fillId="3" borderId="0" xfId="5" applyNumberFormat="1" applyFont="1" applyFill="1" applyBorder="1" applyAlignment="1">
      <alignment vertical="top" wrapText="1"/>
    </xf>
    <xf numFmtId="49" fontId="7" fillId="4" borderId="1" xfId="5" applyNumberFormat="1" applyFont="1" applyFill="1" applyBorder="1" applyAlignment="1">
      <alignment horizontal="center" vertical="center"/>
    </xf>
    <xf numFmtId="49" fontId="7" fillId="4" borderId="4" xfId="5" applyNumberFormat="1" applyFont="1" applyFill="1" applyBorder="1" applyAlignment="1">
      <alignment horizontal="center" vertical="center"/>
    </xf>
    <xf numFmtId="164" fontId="7" fillId="4" borderId="2" xfId="5" applyNumberFormat="1" applyFont="1" applyFill="1" applyBorder="1" applyAlignment="1">
      <alignment horizontal="center" vertical="center" wrapText="1"/>
    </xf>
    <xf numFmtId="164" fontId="7" fillId="4" borderId="0" xfId="5" applyNumberFormat="1" applyFont="1" applyFill="1" applyBorder="1" applyAlignment="1">
      <alignment horizontal="center" vertical="center" wrapText="1"/>
    </xf>
    <xf numFmtId="164" fontId="7" fillId="4" borderId="2" xfId="5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4" fontId="9" fillId="3" borderId="4" xfId="5" applyNumberFormat="1" applyFont="1" applyFill="1" applyBorder="1" applyAlignment="1">
      <alignment horizontal="left" wrapText="1"/>
    </xf>
    <xf numFmtId="164" fontId="9" fillId="3" borderId="0" xfId="5" applyNumberFormat="1" applyFont="1" applyFill="1" applyBorder="1" applyAlignment="1">
      <alignment horizontal="left" wrapText="1"/>
    </xf>
    <xf numFmtId="164" fontId="5" fillId="3" borderId="4" xfId="5" applyNumberFormat="1" applyFont="1" applyFill="1" applyBorder="1" applyAlignment="1">
      <alignment horizontal="left" wrapText="1"/>
    </xf>
    <xf numFmtId="164" fontId="5" fillId="3" borderId="0" xfId="5" applyNumberFormat="1" applyFont="1" applyFill="1" applyBorder="1" applyAlignment="1">
      <alignment horizontal="left" wrapText="1"/>
    </xf>
    <xf numFmtId="164" fontId="9" fillId="4" borderId="6" xfId="6" applyNumberFormat="1" applyFont="1" applyFill="1" applyBorder="1" applyAlignment="1">
      <alignment horizontal="center" wrapText="1"/>
    </xf>
    <xf numFmtId="164" fontId="9" fillId="4" borderId="20" xfId="6" applyNumberFormat="1" applyFont="1" applyFill="1" applyBorder="1" applyAlignment="1">
      <alignment horizontal="center" wrapText="1"/>
    </xf>
    <xf numFmtId="164" fontId="4" fillId="3" borderId="0" xfId="6" applyNumberFormat="1" applyFont="1" applyFill="1" applyBorder="1" applyAlignment="1">
      <alignment vertical="top" wrapText="1"/>
    </xf>
    <xf numFmtId="164" fontId="9" fillId="4" borderId="7" xfId="6" applyNumberFormat="1" applyFont="1" applyFill="1" applyBorder="1" applyAlignment="1">
      <alignment horizontal="center" wrapText="1"/>
    </xf>
    <xf numFmtId="164" fontId="4" fillId="3" borderId="0" xfId="6" applyNumberFormat="1" applyFont="1" applyFill="1" applyBorder="1" applyAlignment="1">
      <alignment horizontal="left" vertical="top" wrapText="1"/>
    </xf>
    <xf numFmtId="164" fontId="3" fillId="3" borderId="0" xfId="6" applyNumberFormat="1" applyFont="1" applyFill="1" applyBorder="1" applyAlignment="1">
      <alignment wrapText="1"/>
    </xf>
    <xf numFmtId="49" fontId="7" fillId="4" borderId="1" xfId="6" applyNumberFormat="1" applyFont="1" applyFill="1" applyBorder="1" applyAlignment="1">
      <alignment horizontal="center" vertical="center"/>
    </xf>
    <xf numFmtId="49" fontId="7" fillId="4" borderId="4" xfId="6" applyNumberFormat="1" applyFont="1" applyFill="1" applyBorder="1" applyAlignment="1">
      <alignment horizontal="center" vertical="center"/>
    </xf>
    <xf numFmtId="164" fontId="7" fillId="4" borderId="13" xfId="6" applyNumberFormat="1" applyFont="1" applyFill="1" applyBorder="1" applyAlignment="1">
      <alignment horizontal="center" vertical="center" wrapText="1"/>
    </xf>
    <xf numFmtId="164" fontId="7" fillId="4" borderId="18" xfId="6" applyNumberFormat="1" applyFont="1" applyFill="1" applyBorder="1" applyAlignment="1">
      <alignment horizontal="center" vertical="center" wrapText="1"/>
    </xf>
    <xf numFmtId="164" fontId="7" fillId="4" borderId="14" xfId="6" applyNumberFormat="1" applyFont="1" applyFill="1" applyBorder="1" applyAlignment="1">
      <alignment horizontal="center"/>
    </xf>
    <xf numFmtId="164" fontId="7" fillId="4" borderId="15" xfId="6" applyNumberFormat="1" applyFont="1" applyFill="1" applyBorder="1" applyAlignment="1">
      <alignment horizontal="center"/>
    </xf>
    <xf numFmtId="164" fontId="7" fillId="4" borderId="16" xfId="6" applyNumberFormat="1" applyFont="1" applyFill="1" applyBorder="1" applyAlignment="1">
      <alignment horizontal="center"/>
    </xf>
    <xf numFmtId="164" fontId="7" fillId="4" borderId="15" xfId="6" applyNumberFormat="1" applyFont="1" applyFill="1" applyBorder="1" applyAlignment="1">
      <alignment horizontal="center" vertical="center"/>
    </xf>
    <xf numFmtId="164" fontId="7" fillId="4" borderId="17" xfId="6" applyNumberFormat="1" applyFont="1" applyFill="1" applyBorder="1" applyAlignment="1">
      <alignment horizontal="center" vertical="center"/>
    </xf>
    <xf numFmtId="164" fontId="3" fillId="0" borderId="0" xfId="9" applyNumberFormat="1" applyFont="1" applyBorder="1" applyAlignment="1">
      <alignment wrapText="1"/>
    </xf>
    <xf numFmtId="164" fontId="4" fillId="0" borderId="0" xfId="9" applyNumberFormat="1" applyFont="1" applyBorder="1" applyAlignment="1">
      <alignment horizontal="left" vertical="top" wrapText="1"/>
    </xf>
    <xf numFmtId="164" fontId="9" fillId="4" borderId="6" xfId="9" applyNumberFormat="1" applyFont="1" applyFill="1" applyBorder="1" applyAlignment="1">
      <alignment horizontal="center" wrapText="1"/>
    </xf>
    <xf numFmtId="164" fontId="9" fillId="4" borderId="7" xfId="9" applyNumberFormat="1" applyFont="1" applyFill="1" applyBorder="1" applyAlignment="1">
      <alignment horizontal="center" wrapText="1"/>
    </xf>
    <xf numFmtId="164" fontId="4" fillId="0" borderId="0" xfId="9" applyNumberFormat="1" applyFont="1" applyBorder="1" applyAlignment="1">
      <alignment vertical="top" wrapText="1"/>
    </xf>
    <xf numFmtId="0" fontId="9" fillId="4" borderId="6" xfId="4" applyNumberFormat="1" applyFont="1" applyFill="1" applyBorder="1" applyAlignment="1">
      <alignment horizontal="left"/>
    </xf>
    <xf numFmtId="0" fontId="9" fillId="4" borderId="7" xfId="4" applyNumberFormat="1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left" wrapText="1"/>
    </xf>
    <xf numFmtId="0" fontId="9" fillId="4" borderId="1" xfId="4" applyNumberFormat="1" applyFont="1" applyFill="1" applyBorder="1" applyAlignment="1">
      <alignment horizontal="center" vertical="center"/>
    </xf>
    <xf numFmtId="0" fontId="9" fillId="4" borderId="2" xfId="4" applyNumberFormat="1" applyFont="1" applyFill="1" applyBorder="1" applyAlignment="1">
      <alignment horizontal="center" vertical="center"/>
    </xf>
    <xf numFmtId="0" fontId="10" fillId="3" borderId="4" xfId="4" applyNumberFormat="1" applyFont="1" applyFill="1" applyBorder="1" applyAlignment="1">
      <alignment horizontal="left"/>
    </xf>
    <xf numFmtId="0" fontId="10" fillId="3" borderId="0" xfId="4" applyNumberFormat="1" applyFont="1" applyFill="1" applyBorder="1" applyAlignment="1">
      <alignment horizontal="left"/>
    </xf>
    <xf numFmtId="0" fontId="15" fillId="3" borderId="4" xfId="4" applyNumberFormat="1" applyFont="1" applyFill="1" applyBorder="1" applyAlignment="1">
      <alignment wrapText="1"/>
    </xf>
    <xf numFmtId="0" fontId="15" fillId="3" borderId="0" xfId="4" applyNumberFormat="1" applyFont="1" applyFill="1" applyBorder="1" applyAlignment="1">
      <alignment wrapText="1"/>
    </xf>
    <xf numFmtId="164" fontId="3" fillId="0" borderId="0" xfId="0" applyNumberFormat="1" applyFont="1" applyBorder="1" applyAlignment="1">
      <alignment wrapText="1"/>
    </xf>
    <xf numFmtId="164" fontId="4" fillId="0" borderId="0" xfId="0" applyNumberFormat="1" applyFont="1" applyBorder="1" applyAlignment="1">
      <alignment horizontal="left" vertical="top" wrapText="1"/>
    </xf>
    <xf numFmtId="49" fontId="35" fillId="4" borderId="27" xfId="0" applyNumberFormat="1" applyFont="1" applyFill="1" applyBorder="1" applyAlignment="1">
      <alignment horizontal="center" vertical="center"/>
    </xf>
    <xf numFmtId="49" fontId="35" fillId="4" borderId="30" xfId="0" applyNumberFormat="1" applyFont="1" applyFill="1" applyBorder="1" applyAlignment="1">
      <alignment horizontal="center" vertical="center"/>
    </xf>
    <xf numFmtId="164" fontId="35" fillId="4" borderId="28" xfId="0" applyNumberFormat="1" applyFont="1" applyFill="1" applyBorder="1" applyAlignment="1">
      <alignment horizontal="left" wrapText="1"/>
    </xf>
    <xf numFmtId="164" fontId="35" fillId="4" borderId="31" xfId="0" applyNumberFormat="1" applyFont="1" applyFill="1" applyBorder="1" applyAlignment="1">
      <alignment horizontal="left" wrapText="1"/>
    </xf>
    <xf numFmtId="164" fontId="35" fillId="4" borderId="28" xfId="0" applyNumberFormat="1" applyFont="1" applyFill="1" applyBorder="1" applyAlignment="1">
      <alignment horizontal="center"/>
    </xf>
    <xf numFmtId="164" fontId="35" fillId="4" borderId="29" xfId="0" applyNumberFormat="1" applyFont="1" applyFill="1" applyBorder="1" applyAlignment="1">
      <alignment horizontal="center"/>
    </xf>
    <xf numFmtId="164" fontId="4" fillId="0" borderId="0" xfId="6" applyNumberFormat="1" applyFont="1" applyBorder="1" applyAlignment="1">
      <alignment horizontal="left" vertical="top" wrapText="1"/>
    </xf>
    <xf numFmtId="164" fontId="4" fillId="0" borderId="0" xfId="6" applyNumberFormat="1" applyFont="1" applyBorder="1" applyAlignment="1">
      <alignment vertical="top" wrapText="1"/>
    </xf>
    <xf numFmtId="164" fontId="35" fillId="4" borderId="27" xfId="0" applyNumberFormat="1" applyFont="1" applyFill="1" applyBorder="1" applyAlignment="1">
      <alignment horizontal="center" vertical="center" wrapText="1"/>
    </xf>
    <xf numFmtId="164" fontId="35" fillId="4" borderId="30" xfId="0" applyNumberFormat="1" applyFont="1" applyFill="1" applyBorder="1" applyAlignment="1">
      <alignment horizontal="center" vertical="center" wrapText="1"/>
    </xf>
    <xf numFmtId="164" fontId="35" fillId="4" borderId="28" xfId="5" applyNumberFormat="1" applyFont="1" applyFill="1" applyBorder="1" applyAlignment="1">
      <alignment horizontal="center" vertical="center" wrapText="1"/>
    </xf>
    <xf numFmtId="164" fontId="35" fillId="4" borderId="29" xfId="5" applyNumberFormat="1" applyFont="1" applyFill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left" vertical="top"/>
    </xf>
    <xf numFmtId="164" fontId="14" fillId="4" borderId="30" xfId="5" applyNumberFormat="1" applyFont="1" applyFill="1" applyBorder="1" applyAlignment="1">
      <alignment horizontal="left" wrapText="1"/>
    </xf>
    <xf numFmtId="164" fontId="14" fillId="4" borderId="31" xfId="5" applyNumberFormat="1" applyFont="1" applyFill="1" applyBorder="1" applyAlignment="1">
      <alignment horizontal="left" wrapText="1"/>
    </xf>
    <xf numFmtId="164" fontId="14" fillId="4" borderId="30" xfId="5" applyNumberFormat="1" applyFont="1" applyFill="1" applyBorder="1" applyAlignment="1">
      <alignment horizontal="left" vertical="center" wrapText="1"/>
    </xf>
    <xf numFmtId="164" fontId="14" fillId="4" borderId="31" xfId="5" applyNumberFormat="1" applyFont="1" applyFill="1" applyBorder="1" applyAlignment="1">
      <alignment horizontal="left" vertical="center" wrapText="1"/>
    </xf>
    <xf numFmtId="164" fontId="15" fillId="0" borderId="31" xfId="5" applyNumberFormat="1" applyFont="1" applyBorder="1" applyAlignment="1">
      <alignment horizontal="left" wrapText="1"/>
    </xf>
    <xf numFmtId="164" fontId="15" fillId="0" borderId="35" xfId="5" applyNumberFormat="1" applyFont="1" applyBorder="1" applyAlignment="1">
      <alignment horizontal="left" wrapText="1"/>
    </xf>
    <xf numFmtId="164" fontId="4" fillId="0" borderId="0" xfId="0" applyNumberFormat="1" applyFont="1" applyBorder="1" applyAlignment="1">
      <alignment vertical="top" wrapText="1"/>
    </xf>
    <xf numFmtId="164" fontId="4" fillId="2" borderId="0" xfId="0" applyNumberFormat="1" applyFont="1" applyFill="1" applyBorder="1" applyAlignment="1">
      <alignment horizontal="left" vertical="top" wrapText="1"/>
    </xf>
    <xf numFmtId="0" fontId="36" fillId="5" borderId="6" xfId="0" applyFont="1" applyFill="1" applyBorder="1" applyAlignment="1">
      <alignment horizontal="center" vertical="center"/>
    </xf>
    <xf numFmtId="0" fontId="36" fillId="5" borderId="7" xfId="0" applyFont="1" applyFill="1" applyBorder="1" applyAlignment="1">
      <alignment horizontal="center" vertical="center"/>
    </xf>
  </cellXfs>
  <cellStyles count="12">
    <cellStyle name="Dziesiętny" xfId="1" builtinId="3"/>
    <cellStyle name="Normal_Nota Nr 1" xfId="2"/>
    <cellStyle name="Normal_Nota Nr 2" xfId="3"/>
    <cellStyle name="Normal_Nota Nr 3" xfId="8"/>
    <cellStyle name="Normal_Nota Nr 4" xfId="7"/>
    <cellStyle name="Normal_Nota Nr 5" xfId="5"/>
    <cellStyle name="Normal_Nota Nr 7" xfId="9"/>
    <cellStyle name="Normal_SHEET" xfId="4"/>
    <cellStyle name="Normalny" xfId="0" builtinId="0"/>
    <cellStyle name="Normalny 2" xfId="10"/>
    <cellStyle name="Normalny_Nota Nr 15" xfId="11"/>
    <cellStyle name="Normalny_Nota Nr 6_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20\Audyt%20ko&#324;cowy\KONSO\KONSO_202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19\Audyt%20ko&#324;cowy\EX\Gwarancjie%20i%20polisy\Zestawienie%20gwarancji%2031.12.2019-Bank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19\Audyt%20ko&#324;cowy\Konso\Arkusz%20konsolidacyjny_2019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oletta.kielbasa/Desktop/Audyt%202020/ET/n23-5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20\Audyt%20ko&#324;cowy\Sprawozdanie\SF_2020_2603202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20\Audyt%20ko&#324;cowy\EX\DANE\Dane_23022021\DDD\DDD.1.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20\Audyt%20ko&#324;cowy\Sprawozdanie\SF_2020_2803202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oletta.kielbasa/Desktop/Audyt%202020/ET/n1-2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20\Audyt%20ko&#324;cowy\KONSO\Arkusz%20konsolidacyjny_31122020_2603202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Departament_Finansowy\Energotel\ET\n1-2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20\Audyt%20ko&#324;cowy\A&#346;KA\dane%20do%20not\Nale&#380;no&#347;ci%20-%20wiekowanie,%20odpisy%2031.12.20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tel\Audyt\2020\Audyt%20ko&#324;cowy\A&#346;KA\dane%20do%20not\Rozliczenia%20mi&#281;dzyokresowe%20przychod&#243;w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OiS_2019"/>
      <sheetName val="ZOiS_2020"/>
      <sheetName val="Aktywa"/>
      <sheetName val="Pasywa"/>
      <sheetName val="RZiS-kalkulacyjny"/>
      <sheetName val="Przepływy - metoda pośrednia"/>
      <sheetName val="nota nr 28 CF"/>
      <sheetName val="Zestawienie zmian w kapitale"/>
      <sheetName val="Konso_porównawczy"/>
      <sheetName val="RZiS - porownawczy"/>
      <sheetName val="nota nr 1_BO_01012019"/>
      <sheetName val="Przekształcenie_bilans01"/>
      <sheetName val="nota 2_przekształ.bilans2019"/>
      <sheetName val="Przekształcenie_RZiS_kalkul"/>
      <sheetName val="Arkusz1"/>
      <sheetName val="nota_2"/>
      <sheetName val="nota nr 3 WNiP 20"/>
      <sheetName val="nota nr 4 (p)"/>
      <sheetName val="nota 5"/>
      <sheetName val="nota nr 6(p) "/>
      <sheetName val="nota nr 6 cd. (p)"/>
      <sheetName val="nota 7 IFA (p)"/>
      <sheetName val="nota nr 8 (p)"/>
      <sheetName val="nota nr 9 (p)"/>
      <sheetName val="nota nr 10"/>
      <sheetName val="nota nr 11, 12"/>
      <sheetName val="nota nr 13"/>
      <sheetName val="nota nr 14 (p),15"/>
      <sheetName val="nota nr 16 "/>
      <sheetName val="nota nr 17"/>
      <sheetName val="nota nr 18"/>
      <sheetName val="nota nr 19 i 20"/>
      <sheetName val="nota nr 21 i 22"/>
      <sheetName val="nota nr 23"/>
      <sheetName val="nota 24 (p)"/>
      <sheetName val="nota nr 25- 27"/>
      <sheetName val="CF_Dane_dodatkowe"/>
      <sheetName val="Kontroling"/>
      <sheetName val="Przekształcenie_RZiS_porów"/>
      <sheetName val="nota 6 (p)"/>
      <sheetName val="nota 6 (p) cd"/>
      <sheetName val="nota nr 29-33"/>
      <sheetName val="nota nr 34- 36"/>
      <sheetName val="nota nr 37,38"/>
      <sheetName val="nota nr 39"/>
      <sheetName val="Podpisy "/>
      <sheetName val="arkusz spr"/>
    </sheetNames>
    <sheetDataSet>
      <sheetData sheetId="0">
        <row r="67">
          <cell r="K67">
            <v>1000</v>
          </cell>
        </row>
        <row r="72">
          <cell r="K72">
            <v>136591.01999999999</v>
          </cell>
        </row>
        <row r="391">
          <cell r="O391">
            <v>98410.09</v>
          </cell>
        </row>
        <row r="393">
          <cell r="O393">
            <v>21185.23</v>
          </cell>
        </row>
        <row r="394">
          <cell r="O394">
            <v>25500</v>
          </cell>
        </row>
        <row r="406">
          <cell r="O406">
            <v>-2867476.15</v>
          </cell>
        </row>
        <row r="407">
          <cell r="O407">
            <v>-102200</v>
          </cell>
        </row>
        <row r="408">
          <cell r="O408">
            <v>-2400000</v>
          </cell>
        </row>
        <row r="410">
          <cell r="O410">
            <v>-1460502.26</v>
          </cell>
        </row>
        <row r="411">
          <cell r="O411">
            <v>-1992119.54</v>
          </cell>
        </row>
        <row r="418">
          <cell r="O418">
            <v>-268343.42</v>
          </cell>
        </row>
        <row r="473">
          <cell r="O473">
            <v>-1287871.08</v>
          </cell>
        </row>
        <row r="474">
          <cell r="O474">
            <v>-18726.2</v>
          </cell>
        </row>
        <row r="475">
          <cell r="O475">
            <v>-666145.38</v>
          </cell>
        </row>
        <row r="476">
          <cell r="O476">
            <v>-2837016.79</v>
          </cell>
        </row>
        <row r="477">
          <cell r="O477">
            <v>-1388.8</v>
          </cell>
        </row>
        <row r="478">
          <cell r="O478">
            <v>-1280.42</v>
          </cell>
        </row>
        <row r="479">
          <cell r="O479">
            <v>-126025.53</v>
          </cell>
        </row>
        <row r="480">
          <cell r="O480">
            <v>-88715.4</v>
          </cell>
        </row>
        <row r="481">
          <cell r="O481">
            <v>-10589</v>
          </cell>
        </row>
        <row r="482">
          <cell r="O482">
            <v>-853359.81</v>
          </cell>
        </row>
        <row r="484">
          <cell r="O484">
            <v>-45183.61</v>
          </cell>
        </row>
        <row r="485">
          <cell r="O485">
            <v>-4125</v>
          </cell>
        </row>
        <row r="486">
          <cell r="O486">
            <v>-169940.53</v>
          </cell>
        </row>
        <row r="487">
          <cell r="O487">
            <v>-47543.07</v>
          </cell>
        </row>
        <row r="488">
          <cell r="O488">
            <v>-1470676.27</v>
          </cell>
        </row>
        <row r="489">
          <cell r="O489">
            <v>-2254143.21</v>
          </cell>
        </row>
        <row r="490">
          <cell r="O490">
            <v>148785.29999999999</v>
          </cell>
        </row>
        <row r="491">
          <cell r="O491">
            <v>1846745.48</v>
          </cell>
        </row>
        <row r="492">
          <cell r="O492">
            <v>58136</v>
          </cell>
        </row>
        <row r="493">
          <cell r="O493">
            <v>14962.72</v>
          </cell>
        </row>
        <row r="494">
          <cell r="O494">
            <v>127</v>
          </cell>
        </row>
        <row r="495">
          <cell r="O495">
            <v>21.28</v>
          </cell>
        </row>
        <row r="496">
          <cell r="O496">
            <v>98744.59</v>
          </cell>
        </row>
        <row r="497">
          <cell r="O497">
            <v>95851.42</v>
          </cell>
        </row>
        <row r="498">
          <cell r="O498">
            <v>1679582.54</v>
          </cell>
        </row>
        <row r="500">
          <cell r="O500">
            <v>7292</v>
          </cell>
        </row>
        <row r="502">
          <cell r="O502">
            <v>2549.33</v>
          </cell>
        </row>
        <row r="503">
          <cell r="O503">
            <v>45831.54</v>
          </cell>
        </row>
        <row r="504">
          <cell r="O504">
            <v>55.82</v>
          </cell>
        </row>
        <row r="505">
          <cell r="O505">
            <v>98511.75</v>
          </cell>
        </row>
        <row r="506">
          <cell r="O506">
            <v>2820222.03</v>
          </cell>
        </row>
        <row r="507">
          <cell r="O507">
            <v>7442064.1200000001</v>
          </cell>
        </row>
        <row r="508">
          <cell r="O508">
            <v>148668.48000000001</v>
          </cell>
        </row>
        <row r="509">
          <cell r="O509">
            <v>684444.04</v>
          </cell>
        </row>
        <row r="520">
          <cell r="O520">
            <v>-69400</v>
          </cell>
        </row>
        <row r="521">
          <cell r="O521">
            <v>-495036.41</v>
          </cell>
        </row>
        <row r="522">
          <cell r="O522">
            <v>-324000</v>
          </cell>
        </row>
        <row r="523">
          <cell r="O523">
            <v>-23460</v>
          </cell>
        </row>
        <row r="524">
          <cell r="O524">
            <v>-277018.77</v>
          </cell>
        </row>
        <row r="525">
          <cell r="O525">
            <v>777566.29</v>
          </cell>
        </row>
        <row r="526">
          <cell r="O526">
            <v>-814216.93</v>
          </cell>
        </row>
        <row r="531">
          <cell r="O531">
            <v>-805086.8</v>
          </cell>
        </row>
        <row r="532">
          <cell r="O532">
            <v>-2030519.04</v>
          </cell>
        </row>
        <row r="533">
          <cell r="O533">
            <v>-52086.17</v>
          </cell>
        </row>
        <row r="534">
          <cell r="O534">
            <v>-62314.720000000001</v>
          </cell>
        </row>
        <row r="537">
          <cell r="O537">
            <v>-2822.65</v>
          </cell>
        </row>
        <row r="539">
          <cell r="O539">
            <v>-20166963.949999999</v>
          </cell>
        </row>
      </sheetData>
      <sheetData sheetId="1">
        <row r="51">
          <cell r="O51">
            <v>658338.88</v>
          </cell>
        </row>
        <row r="52">
          <cell r="O52">
            <v>12792.89</v>
          </cell>
        </row>
        <row r="53">
          <cell r="O53">
            <v>188645.13</v>
          </cell>
        </row>
        <row r="54">
          <cell r="O54">
            <v>36083.43</v>
          </cell>
        </row>
        <row r="55">
          <cell r="O55">
            <v>923641.72</v>
          </cell>
        </row>
        <row r="56">
          <cell r="O56">
            <v>372454.05</v>
          </cell>
        </row>
        <row r="57">
          <cell r="O57">
            <v>329003.5</v>
          </cell>
        </row>
        <row r="58">
          <cell r="O58">
            <v>2825.29</v>
          </cell>
        </row>
        <row r="59">
          <cell r="O59">
            <v>262074.91</v>
          </cell>
        </row>
        <row r="60">
          <cell r="O60">
            <v>279.25</v>
          </cell>
        </row>
        <row r="61">
          <cell r="O61">
            <v>1769</v>
          </cell>
        </row>
        <row r="62">
          <cell r="O62">
            <v>41825469.469999999</v>
          </cell>
        </row>
        <row r="63">
          <cell r="O63">
            <v>0</v>
          </cell>
        </row>
        <row r="64">
          <cell r="O64">
            <v>219409.45</v>
          </cell>
        </row>
        <row r="65">
          <cell r="O65">
            <v>3121074.43</v>
          </cell>
        </row>
        <row r="66">
          <cell r="O66">
            <v>23438.59</v>
          </cell>
        </row>
        <row r="67">
          <cell r="O67">
            <v>305365.09999999998</v>
          </cell>
        </row>
        <row r="77">
          <cell r="O77">
            <v>45000000</v>
          </cell>
        </row>
        <row r="82">
          <cell r="O82">
            <v>6238.35</v>
          </cell>
        </row>
        <row r="153">
          <cell r="O153">
            <v>-4530275.24</v>
          </cell>
        </row>
        <row r="218">
          <cell r="O218">
            <v>2681623.37</v>
          </cell>
        </row>
        <row r="219">
          <cell r="O219">
            <v>1038539.14</v>
          </cell>
        </row>
        <row r="223">
          <cell r="K223">
            <v>-42725.02</v>
          </cell>
          <cell r="M223">
            <v>771</v>
          </cell>
        </row>
        <row r="379">
          <cell r="O379">
            <v>91037.47</v>
          </cell>
        </row>
        <row r="381">
          <cell r="O381">
            <v>285.23</v>
          </cell>
        </row>
        <row r="382">
          <cell r="O382">
            <v>25200</v>
          </cell>
        </row>
        <row r="386">
          <cell r="O386">
            <v>128517.5</v>
          </cell>
        </row>
        <row r="388">
          <cell r="O388">
            <v>8325282.0800000001</v>
          </cell>
        </row>
        <row r="391">
          <cell r="O391">
            <v>1080528.93</v>
          </cell>
        </row>
        <row r="395">
          <cell r="O395">
            <v>4530331.5</v>
          </cell>
        </row>
        <row r="401">
          <cell r="N401">
            <v>848286.46</v>
          </cell>
        </row>
        <row r="406">
          <cell r="N406">
            <v>393925.56</v>
          </cell>
        </row>
        <row r="462">
          <cell r="O462">
            <v>-29577.82</v>
          </cell>
        </row>
        <row r="463">
          <cell r="O463">
            <v>-1920</v>
          </cell>
        </row>
        <row r="464">
          <cell r="O464">
            <v>-549796.18999999994</v>
          </cell>
        </row>
        <row r="465">
          <cell r="O465">
            <v>-4499.51</v>
          </cell>
        </row>
        <row r="466">
          <cell r="O466">
            <v>-3000</v>
          </cell>
        </row>
        <row r="467">
          <cell r="O467">
            <v>-248231.85</v>
          </cell>
        </row>
        <row r="468">
          <cell r="O468">
            <v>-149020.64000000001</v>
          </cell>
        </row>
        <row r="470">
          <cell r="O470">
            <v>-5913.09</v>
          </cell>
        </row>
        <row r="471">
          <cell r="O471">
            <v>-832315.39</v>
          </cell>
        </row>
        <row r="472">
          <cell r="O472">
            <v>-60.37</v>
          </cell>
        </row>
        <row r="473">
          <cell r="O473">
            <v>-879255.84</v>
          </cell>
        </row>
        <row r="474">
          <cell r="O474">
            <v>-40274</v>
          </cell>
        </row>
        <row r="475">
          <cell r="O475">
            <v>-38502.81</v>
          </cell>
        </row>
        <row r="476">
          <cell r="O476">
            <v>-16816.2</v>
          </cell>
        </row>
        <row r="477">
          <cell r="O477">
            <v>89795.29</v>
          </cell>
        </row>
        <row r="478">
          <cell r="O478">
            <v>-2856032.83</v>
          </cell>
        </row>
        <row r="479">
          <cell r="O479">
            <v>1068364.79</v>
          </cell>
        </row>
        <row r="480">
          <cell r="O480">
            <v>395517.68</v>
          </cell>
        </row>
        <row r="481">
          <cell r="O481">
            <v>6644.48</v>
          </cell>
        </row>
        <row r="482">
          <cell r="O482">
            <v>29285.25</v>
          </cell>
        </row>
        <row r="483">
          <cell r="O483">
            <v>75600</v>
          </cell>
        </row>
        <row r="484">
          <cell r="O484">
            <v>138546.75</v>
          </cell>
        </row>
        <row r="485">
          <cell r="O485">
            <v>881127.59</v>
          </cell>
        </row>
        <row r="486">
          <cell r="O486">
            <v>17253.849999999999</v>
          </cell>
        </row>
        <row r="487">
          <cell r="O487">
            <v>2664296.9700000002</v>
          </cell>
        </row>
        <row r="488">
          <cell r="O488">
            <v>458904.08</v>
          </cell>
        </row>
        <row r="489">
          <cell r="O489">
            <v>764310.09</v>
          </cell>
        </row>
        <row r="490">
          <cell r="O490">
            <v>17978.68</v>
          </cell>
        </row>
        <row r="491">
          <cell r="O491">
            <v>739.69</v>
          </cell>
        </row>
        <row r="492">
          <cell r="O492">
            <v>283638.94</v>
          </cell>
        </row>
        <row r="493">
          <cell r="O493">
            <v>163181.17000000001</v>
          </cell>
        </row>
        <row r="494">
          <cell r="O494">
            <v>24602.32</v>
          </cell>
        </row>
        <row r="495">
          <cell r="O495">
            <v>242395.61</v>
          </cell>
        </row>
        <row r="496">
          <cell r="O496">
            <v>216.4</v>
          </cell>
        </row>
        <row r="497">
          <cell r="O497">
            <v>8310.9</v>
          </cell>
        </row>
        <row r="509">
          <cell r="O509">
            <v>-64700</v>
          </cell>
        </row>
        <row r="510">
          <cell r="O510">
            <v>-628586.39</v>
          </cell>
        </row>
        <row r="513">
          <cell r="N513">
            <v>458904.08</v>
          </cell>
        </row>
        <row r="519">
          <cell r="O519">
            <v>-1190610.21</v>
          </cell>
        </row>
        <row r="520">
          <cell r="O520">
            <v>-1126404.1599999999</v>
          </cell>
        </row>
        <row r="527">
          <cell r="O527">
            <v>-21628562.609999999</v>
          </cell>
        </row>
      </sheetData>
      <sheetData sheetId="2">
        <row r="13">
          <cell r="D13">
            <v>6267709.6899999995</v>
          </cell>
        </row>
        <row r="14">
          <cell r="D14">
            <v>169972428.98215464</v>
          </cell>
        </row>
        <row r="15">
          <cell r="D15">
            <v>125803793.24110281</v>
          </cell>
        </row>
        <row r="16">
          <cell r="D16">
            <v>777998.37</v>
          </cell>
        </row>
        <row r="17">
          <cell r="D17">
            <v>7602634.9816397056</v>
          </cell>
        </row>
        <row r="18">
          <cell r="D18">
            <v>35099180.450940505</v>
          </cell>
        </row>
        <row r="23">
          <cell r="E23">
            <v>189376.13</v>
          </cell>
        </row>
        <row r="24">
          <cell r="E24">
            <v>0</v>
          </cell>
        </row>
        <row r="27">
          <cell r="E27">
            <v>0</v>
          </cell>
        </row>
        <row r="38">
          <cell r="E38">
            <v>27346845.079999998</v>
          </cell>
        </row>
        <row r="42">
          <cell r="E42">
            <v>762705.58000000007</v>
          </cell>
        </row>
        <row r="43">
          <cell r="E43">
            <v>1558017.36</v>
          </cell>
        </row>
        <row r="44">
          <cell r="E44">
            <v>0</v>
          </cell>
        </row>
        <row r="45">
          <cell r="E45">
            <v>0</v>
          </cell>
        </row>
        <row r="59">
          <cell r="E59">
            <v>51129460.509999998</v>
          </cell>
        </row>
        <row r="61">
          <cell r="E61">
            <v>13344811.029999999</v>
          </cell>
        </row>
        <row r="62">
          <cell r="E62">
            <v>2153396.2899999991</v>
          </cell>
        </row>
        <row r="69">
          <cell r="E69">
            <v>55329564.25</v>
          </cell>
        </row>
        <row r="70">
          <cell r="E70">
            <v>4820494.0900000008</v>
          </cell>
        </row>
        <row r="73">
          <cell r="E73">
            <v>3991123.5000000005</v>
          </cell>
        </row>
      </sheetData>
      <sheetData sheetId="3">
        <row r="12">
          <cell r="E12">
            <v>-99980730.139999986</v>
          </cell>
        </row>
        <row r="13">
          <cell r="E13">
            <v>-12166300.919999998</v>
          </cell>
        </row>
        <row r="17">
          <cell r="E17">
            <v>38853</v>
          </cell>
        </row>
        <row r="19">
          <cell r="E19">
            <v>656370.89999999991</v>
          </cell>
        </row>
        <row r="20">
          <cell r="E20">
            <v>8838940.2400000002</v>
          </cell>
        </row>
        <row r="23">
          <cell r="E23">
            <v>3823208.43</v>
          </cell>
        </row>
        <row r="33">
          <cell r="E33">
            <v>624539.93000000005</v>
          </cell>
        </row>
        <row r="34">
          <cell r="E34">
            <v>1525</v>
          </cell>
        </row>
        <row r="44">
          <cell r="E44">
            <v>331566.78000000003</v>
          </cell>
        </row>
        <row r="46">
          <cell r="E46">
            <v>55155488.670000002</v>
          </cell>
        </row>
        <row r="50">
          <cell r="E50">
            <v>3645894.21</v>
          </cell>
        </row>
        <row r="51">
          <cell r="E51">
            <v>877775.28</v>
          </cell>
        </row>
        <row r="52">
          <cell r="E52">
            <v>179380.23999999996</v>
          </cell>
        </row>
        <row r="53">
          <cell r="E53">
            <v>243250.77999999988</v>
          </cell>
        </row>
        <row r="57">
          <cell r="E57">
            <v>22197482.989999998</v>
          </cell>
        </row>
      </sheetData>
      <sheetData sheetId="4">
        <row r="6">
          <cell r="E6">
            <v>369805936.72000003</v>
          </cell>
        </row>
        <row r="7">
          <cell r="E7">
            <v>10085259.279999999</v>
          </cell>
        </row>
        <row r="8">
          <cell r="D8">
            <v>323926683.66001803</v>
          </cell>
          <cell r="E8">
            <v>328727237.12</v>
          </cell>
        </row>
        <row r="10">
          <cell r="E10">
            <v>320592698.74000001</v>
          </cell>
        </row>
        <row r="11">
          <cell r="E11">
            <v>8134538.3799999999</v>
          </cell>
        </row>
        <row r="13">
          <cell r="D13">
            <v>15541104.159999998</v>
          </cell>
          <cell r="E13">
            <v>15658864.16</v>
          </cell>
        </row>
        <row r="14">
          <cell r="D14">
            <v>27960434.32</v>
          </cell>
          <cell r="E14">
            <v>45010655.759999998</v>
          </cell>
        </row>
        <row r="17">
          <cell r="E17">
            <v>221148.12</v>
          </cell>
        </row>
        <row r="18">
          <cell r="E18">
            <v>3939560.41</v>
          </cell>
        </row>
        <row r="20">
          <cell r="E20">
            <v>4703409.49</v>
          </cell>
        </row>
        <row r="22">
          <cell r="E22">
            <v>762159.22</v>
          </cell>
        </row>
        <row r="23">
          <cell r="E23">
            <v>11207656.239999998</v>
          </cell>
        </row>
        <row r="24">
          <cell r="E24">
            <v>2164579.8500000006</v>
          </cell>
        </row>
        <row r="29">
          <cell r="E29">
            <v>668538.80000000016</v>
          </cell>
        </row>
        <row r="34">
          <cell r="E34">
            <v>648</v>
          </cell>
        </row>
        <row r="36">
          <cell r="E36">
            <v>54014.900000000074</v>
          </cell>
        </row>
        <row r="40">
          <cell r="E40">
            <v>52210.569999999891</v>
          </cell>
        </row>
        <row r="42">
          <cell r="E42">
            <v>-2046576.08</v>
          </cell>
        </row>
        <row r="44">
          <cell r="D44">
            <v>-442615.82881460933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26">
          <cell r="C26">
            <v>0</v>
          </cell>
        </row>
        <row r="86">
          <cell r="C86">
            <v>576854559</v>
          </cell>
        </row>
        <row r="137">
          <cell r="C137">
            <v>21922648.84</v>
          </cell>
        </row>
      </sheetData>
      <sheetData sheetId="12"/>
      <sheetData sheetId="13"/>
      <sheetData sheetId="14"/>
      <sheetData sheetId="15"/>
      <sheetData sheetId="16"/>
      <sheetData sheetId="17">
        <row r="39">
          <cell r="C39">
            <v>6361033.5700000003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>
        <row r="14">
          <cell r="G14">
            <v>15837198.810000001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</sheetNames>
    <sheetDataSet>
      <sheetData sheetId="0">
        <row r="66">
          <cell r="G66">
            <v>-3257.59</v>
          </cell>
        </row>
        <row r="107">
          <cell r="C107">
            <v>33461339.050000001</v>
          </cell>
          <cell r="I107">
            <v>-27950830.940000001</v>
          </cell>
          <cell r="J107">
            <v>-661202.09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 nr 23"/>
      <sheetName val="nota nr 24-25"/>
      <sheetName val="nota nr 26-27"/>
      <sheetName val="nota 28"/>
      <sheetName val="nota nr 29"/>
      <sheetName val="nota nr 30-35"/>
      <sheetName val="nota nr 36"/>
      <sheetName val="nota nr 37-41"/>
      <sheetName val="nota nr 42-44"/>
      <sheetName val="nota nr 45-51 "/>
      <sheetName val="Arkusz3"/>
      <sheetName val="nota nr 52 "/>
    </sheetNames>
    <sheetDataSet>
      <sheetData sheetId="0"/>
      <sheetData sheetId="1">
        <row r="8">
          <cell r="C8">
            <v>84415.31</v>
          </cell>
          <cell r="D8">
            <v>221148.12</v>
          </cell>
        </row>
        <row r="21">
          <cell r="C21">
            <v>13009.73</v>
          </cell>
          <cell r="D21">
            <v>63737.08</v>
          </cell>
        </row>
        <row r="23">
          <cell r="C23">
            <v>3000</v>
          </cell>
          <cell r="D23">
            <v>320800</v>
          </cell>
        </row>
        <row r="38">
          <cell r="D38">
            <v>13690</v>
          </cell>
        </row>
        <row r="49">
          <cell r="D49">
            <v>52649.29</v>
          </cell>
        </row>
        <row r="52">
          <cell r="D52">
            <v>215.8</v>
          </cell>
        </row>
        <row r="53">
          <cell r="D53">
            <v>1888</v>
          </cell>
        </row>
        <row r="54">
          <cell r="D54">
            <v>2273.2600000000002</v>
          </cell>
        </row>
        <row r="55">
          <cell r="D55">
            <v>17721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OiS_2019"/>
      <sheetName val="ZOiS_2020"/>
      <sheetName val="ST"/>
      <sheetName val="Aktywa"/>
      <sheetName val="Pasywa"/>
      <sheetName val="RZiS-kalkulacyjny"/>
      <sheetName val="Zestawienie zmian w kapitale"/>
      <sheetName val="RZiS - porownawczy"/>
      <sheetName val="Przepływy - metoda pośrednia"/>
      <sheetName val="CF_Dane_dodatkowe"/>
      <sheetName val="nota_1_BO_012019"/>
      <sheetName val="Przekształcenie_bilans01"/>
      <sheetName val="nota_1_RZiS_012019"/>
      <sheetName val="nota_2_przekszt_bilans2019"/>
      <sheetName val="nota_2_przekszt_RZiS_kalkul"/>
      <sheetName val="nota nr 3 WNiP 20"/>
      <sheetName val="nota nr 4 (p)"/>
      <sheetName val="nota 5"/>
      <sheetName val="nota nr 6(p) "/>
      <sheetName val="nota nr 6 cd. (p)"/>
      <sheetName val="nota 7 IFA (p)"/>
      <sheetName val="nota nr 8 (p)"/>
      <sheetName val="nota nr 9 (p)"/>
      <sheetName val="nota nr 10"/>
      <sheetName val="nota nr 11, 12"/>
      <sheetName val="nota nr 13"/>
      <sheetName val="nota nr 14 (p),15"/>
      <sheetName val="nota nr 16 "/>
      <sheetName val="nota nr 17"/>
      <sheetName val="nota nr 18"/>
      <sheetName val="nota nr 19 i 20"/>
      <sheetName val="nota nr 21 i 22 "/>
      <sheetName val="nota nr 23"/>
      <sheetName val="nota 24 (p)"/>
      <sheetName val="nota nr 25- 27"/>
      <sheetName val="nota nr 28 CF"/>
      <sheetName val="Kontroling"/>
      <sheetName val="Przekształcenie_RZiS_porów"/>
      <sheetName val="nota 6 (p)"/>
      <sheetName val="nota 6 (p) cd"/>
      <sheetName val="nota nr 29-33"/>
      <sheetName val="nota nr 34- 36"/>
      <sheetName val="nota nr 37"/>
      <sheetName val="nota nr 38,39"/>
      <sheetName val="nota nr 40"/>
      <sheetName val="Podpisy "/>
      <sheetName val="arkusz spr"/>
    </sheetNames>
    <sheetDataSet>
      <sheetData sheetId="0">
        <row r="357">
          <cell r="O357">
            <v>45836.77</v>
          </cell>
        </row>
        <row r="358">
          <cell r="O358">
            <v>117407.92</v>
          </cell>
        </row>
        <row r="359">
          <cell r="O359">
            <v>22518.58</v>
          </cell>
        </row>
        <row r="360">
          <cell r="O360">
            <v>267.08999999999997</v>
          </cell>
        </row>
        <row r="361">
          <cell r="O361">
            <v>280710.8</v>
          </cell>
        </row>
        <row r="362">
          <cell r="O362">
            <v>188147</v>
          </cell>
        </row>
        <row r="363">
          <cell r="O363">
            <v>60086.43</v>
          </cell>
        </row>
        <row r="364">
          <cell r="O364">
            <v>11307.24</v>
          </cell>
        </row>
        <row r="365">
          <cell r="O365">
            <v>37550.54</v>
          </cell>
        </row>
        <row r="366">
          <cell r="O366">
            <v>88570.47</v>
          </cell>
        </row>
        <row r="367">
          <cell r="O367">
            <v>103251</v>
          </cell>
        </row>
        <row r="368">
          <cell r="O368">
            <v>421177.37</v>
          </cell>
        </row>
        <row r="369">
          <cell r="O369">
            <v>2620.89</v>
          </cell>
        </row>
        <row r="371">
          <cell r="O371">
            <v>184811.94</v>
          </cell>
        </row>
        <row r="372">
          <cell r="O372">
            <v>-99.11</v>
          </cell>
        </row>
        <row r="376">
          <cell r="O376">
            <v>4024.4</v>
          </cell>
        </row>
        <row r="377">
          <cell r="O377">
            <v>11240</v>
          </cell>
        </row>
        <row r="381">
          <cell r="O381">
            <v>244285.91</v>
          </cell>
        </row>
        <row r="384">
          <cell r="O384">
            <v>158509.35</v>
          </cell>
        </row>
        <row r="531">
          <cell r="O531">
            <v>-805086.8</v>
          </cell>
        </row>
      </sheetData>
      <sheetData sheetId="1">
        <row r="233">
          <cell r="O233">
            <v>25603.97</v>
          </cell>
        </row>
        <row r="234">
          <cell r="O234">
            <v>13977.82</v>
          </cell>
        </row>
        <row r="235">
          <cell r="O235">
            <v>33433.21</v>
          </cell>
        </row>
        <row r="236">
          <cell r="O236">
            <v>1208605.93</v>
          </cell>
        </row>
        <row r="237">
          <cell r="O237">
            <v>4440.3999999999996</v>
          </cell>
        </row>
        <row r="238">
          <cell r="O238">
            <v>4907758.42</v>
          </cell>
        </row>
        <row r="239">
          <cell r="O239">
            <v>202653.9</v>
          </cell>
        </row>
        <row r="240">
          <cell r="O240">
            <v>1474125.73</v>
          </cell>
        </row>
        <row r="241">
          <cell r="O241">
            <v>140.80000000000001</v>
          </cell>
        </row>
        <row r="242">
          <cell r="O242">
            <v>161478.1</v>
          </cell>
        </row>
        <row r="243">
          <cell r="O243">
            <v>85050</v>
          </cell>
        </row>
        <row r="244">
          <cell r="O244">
            <v>72377.45</v>
          </cell>
        </row>
        <row r="245">
          <cell r="O245">
            <v>3539.71</v>
          </cell>
        </row>
        <row r="246">
          <cell r="O246">
            <v>12077.87</v>
          </cell>
        </row>
        <row r="247">
          <cell r="O247">
            <v>-771</v>
          </cell>
        </row>
        <row r="274">
          <cell r="O274">
            <v>128981.98</v>
          </cell>
        </row>
        <row r="275">
          <cell r="O275">
            <v>223620.5</v>
          </cell>
        </row>
        <row r="276">
          <cell r="O276">
            <v>129600</v>
          </cell>
        </row>
        <row r="277">
          <cell r="O277">
            <v>179347.20000000001</v>
          </cell>
        </row>
        <row r="281">
          <cell r="O281">
            <v>42494.92</v>
          </cell>
        </row>
        <row r="282">
          <cell r="O282">
            <v>14285399.050000001</v>
          </cell>
        </row>
        <row r="283">
          <cell r="O283">
            <v>9114446.8000000007</v>
          </cell>
        </row>
        <row r="284">
          <cell r="O284">
            <v>58124121.799999997</v>
          </cell>
        </row>
        <row r="285">
          <cell r="O285">
            <v>1321897.17</v>
          </cell>
        </row>
        <row r="286">
          <cell r="O286">
            <v>3384871.54</v>
          </cell>
        </row>
        <row r="287">
          <cell r="O287">
            <v>74625681.739999995</v>
          </cell>
        </row>
        <row r="325">
          <cell r="O325">
            <v>25931.87</v>
          </cell>
        </row>
        <row r="329">
          <cell r="O329">
            <v>8694117.8000000007</v>
          </cell>
        </row>
        <row r="330">
          <cell r="O330">
            <v>200557.51</v>
          </cell>
        </row>
        <row r="331">
          <cell r="O331">
            <v>-18117.98</v>
          </cell>
        </row>
        <row r="332">
          <cell r="O332">
            <v>76428.84</v>
          </cell>
        </row>
        <row r="333">
          <cell r="O333">
            <v>320758.03000000003</v>
          </cell>
        </row>
        <row r="334">
          <cell r="O334">
            <v>642737.79</v>
          </cell>
        </row>
        <row r="335">
          <cell r="O335">
            <v>-11214.5</v>
          </cell>
        </row>
        <row r="336">
          <cell r="O336">
            <v>333525.89</v>
          </cell>
        </row>
        <row r="337">
          <cell r="O337">
            <v>11214.5</v>
          </cell>
        </row>
        <row r="338">
          <cell r="O338">
            <v>175605.04</v>
          </cell>
        </row>
        <row r="339">
          <cell r="O339">
            <v>5810</v>
          </cell>
        </row>
        <row r="340">
          <cell r="O340">
            <v>277493.90000000002</v>
          </cell>
        </row>
        <row r="341">
          <cell r="O341">
            <v>75650.22</v>
          </cell>
        </row>
        <row r="342">
          <cell r="O342">
            <v>33798.589999999997</v>
          </cell>
        </row>
        <row r="343">
          <cell r="O343">
            <v>105827.89</v>
          </cell>
        </row>
        <row r="344">
          <cell r="O344">
            <v>610115.92000000004</v>
          </cell>
        </row>
        <row r="345">
          <cell r="O345">
            <v>14549.9</v>
          </cell>
        </row>
        <row r="346">
          <cell r="O346">
            <v>36708.28</v>
          </cell>
        </row>
        <row r="347">
          <cell r="O347">
            <v>4946.66</v>
          </cell>
        </row>
        <row r="348">
          <cell r="O348">
            <v>13146.94</v>
          </cell>
        </row>
        <row r="349">
          <cell r="O349">
            <v>45114.17</v>
          </cell>
        </row>
        <row r="350">
          <cell r="O350">
            <v>12930</v>
          </cell>
        </row>
        <row r="351">
          <cell r="O351">
            <v>65.040000000000006</v>
          </cell>
        </row>
        <row r="352">
          <cell r="O352">
            <v>62483.92</v>
          </cell>
        </row>
        <row r="353">
          <cell r="O353">
            <v>51381.78</v>
          </cell>
        </row>
        <row r="354">
          <cell r="O354">
            <v>11591.38</v>
          </cell>
        </row>
        <row r="355">
          <cell r="O355">
            <v>6955.15</v>
          </cell>
        </row>
        <row r="356">
          <cell r="O356">
            <v>6842.76</v>
          </cell>
        </row>
        <row r="357">
          <cell r="O357">
            <v>84170.47</v>
          </cell>
        </row>
        <row r="358">
          <cell r="O358">
            <v>34100</v>
          </cell>
        </row>
        <row r="359">
          <cell r="O359">
            <v>446095.05</v>
          </cell>
        </row>
        <row r="360">
          <cell r="O360">
            <v>3927.28</v>
          </cell>
        </row>
        <row r="361">
          <cell r="O361">
            <v>153872.62</v>
          </cell>
        </row>
        <row r="362">
          <cell r="O362">
            <v>239694.65</v>
          </cell>
        </row>
        <row r="363">
          <cell r="O363">
            <v>586980.03</v>
          </cell>
        </row>
        <row r="364">
          <cell r="O364">
            <v>3139.19</v>
          </cell>
        </row>
        <row r="371">
          <cell r="O371">
            <v>376633.53</v>
          </cell>
        </row>
        <row r="372">
          <cell r="O372">
            <v>3997</v>
          </cell>
        </row>
        <row r="373">
          <cell r="O373">
            <v>34101.67</v>
          </cell>
        </row>
        <row r="374">
          <cell r="O374">
            <v>58212.01</v>
          </cell>
        </row>
        <row r="375">
          <cell r="O375">
            <v>193864.07</v>
          </cell>
        </row>
      </sheetData>
      <sheetData sheetId="2"/>
      <sheetData sheetId="3">
        <row r="9">
          <cell r="E9">
            <v>49710785.649999984</v>
          </cell>
        </row>
        <row r="13">
          <cell r="E13">
            <v>6361033.5700000003</v>
          </cell>
        </row>
        <row r="47">
          <cell r="E47">
            <v>0</v>
          </cell>
        </row>
        <row r="62">
          <cell r="E62">
            <v>0</v>
          </cell>
        </row>
        <row r="63">
          <cell r="E63">
            <v>0</v>
          </cell>
        </row>
      </sheetData>
      <sheetData sheetId="4"/>
      <sheetData sheetId="5"/>
      <sheetData sheetId="6">
        <row r="37">
          <cell r="D37">
            <v>-94847379.189999983</v>
          </cell>
        </row>
      </sheetData>
      <sheetData sheetId="7">
        <row r="14">
          <cell r="D14">
            <v>5877556.9799999995</v>
          </cell>
          <cell r="F14">
            <v>6236876.4300000006</v>
          </cell>
        </row>
        <row r="16">
          <cell r="D16">
            <v>56789535.470000006</v>
          </cell>
        </row>
        <row r="19">
          <cell r="D19">
            <v>3347576.34</v>
          </cell>
          <cell r="F19">
            <v>7742978.3799999999</v>
          </cell>
        </row>
      </sheetData>
      <sheetData sheetId="8"/>
      <sheetData sheetId="9"/>
      <sheetData sheetId="10"/>
      <sheetData sheetId="11"/>
      <sheetData sheetId="12"/>
      <sheetData sheetId="13">
        <row r="21">
          <cell r="D21">
            <v>72789138.859999985</v>
          </cell>
        </row>
        <row r="63">
          <cell r="E63">
            <v>-2252661.61</v>
          </cell>
        </row>
        <row r="65">
          <cell r="E65">
            <v>-136231.5</v>
          </cell>
        </row>
        <row r="73">
          <cell r="E73">
            <v>2655715.4699999839</v>
          </cell>
        </row>
        <row r="75">
          <cell r="E75">
            <v>12912253.029999999</v>
          </cell>
        </row>
        <row r="76">
          <cell r="E76">
            <v>-668855.30000000005</v>
          </cell>
        </row>
        <row r="83">
          <cell r="E83">
            <v>146022.21999999881</v>
          </cell>
        </row>
        <row r="84">
          <cell r="E84">
            <v>22301.360000000001</v>
          </cell>
        </row>
        <row r="87">
          <cell r="E87">
            <v>-12663589.489999991</v>
          </cell>
        </row>
        <row r="112">
          <cell r="E112">
            <v>125660</v>
          </cell>
        </row>
        <row r="127">
          <cell r="E127">
            <v>-8505.820000000298</v>
          </cell>
        </row>
        <row r="141">
          <cell r="E141">
            <v>-102200</v>
          </cell>
        </row>
      </sheetData>
      <sheetData sheetId="14"/>
      <sheetData sheetId="15"/>
      <sheetData sheetId="16">
        <row r="20">
          <cell r="D20">
            <v>3622132.59</v>
          </cell>
        </row>
        <row r="37">
          <cell r="D37">
            <v>2567608.21</v>
          </cell>
        </row>
      </sheetData>
      <sheetData sheetId="17"/>
      <sheetData sheetId="18"/>
      <sheetData sheetId="19"/>
      <sheetData sheetId="20"/>
      <sheetData sheetId="21"/>
      <sheetData sheetId="22">
        <row r="13">
          <cell r="C13">
            <v>57784601.68</v>
          </cell>
          <cell r="D13">
            <v>6873315.71</v>
          </cell>
          <cell r="F13">
            <v>60641437.049999997</v>
          </cell>
          <cell r="G13">
            <v>10174490.289999999</v>
          </cell>
        </row>
        <row r="15">
          <cell r="C15">
            <v>1026758</v>
          </cell>
        </row>
        <row r="16">
          <cell r="C16">
            <v>2631985.2600000002</v>
          </cell>
          <cell r="D16">
            <v>907761.24000000011</v>
          </cell>
          <cell r="F16">
            <v>5350549.49</v>
          </cell>
          <cell r="G16">
            <v>3524225.2</v>
          </cell>
        </row>
        <row r="17">
          <cell r="C17">
            <v>489980.44</v>
          </cell>
          <cell r="F17">
            <v>2156327.04</v>
          </cell>
          <cell r="G17">
            <v>2156327.04</v>
          </cell>
        </row>
        <row r="24">
          <cell r="C24">
            <v>48243218.700000003</v>
          </cell>
        </row>
        <row r="32">
          <cell r="C32">
            <v>1732398.23</v>
          </cell>
          <cell r="D32">
            <v>19987.5</v>
          </cell>
        </row>
        <row r="33">
          <cell r="C33">
            <v>189974.54</v>
          </cell>
          <cell r="D33">
            <v>35661.68</v>
          </cell>
        </row>
        <row r="34">
          <cell r="C34">
            <v>291487.53999999998</v>
          </cell>
          <cell r="D34">
            <v>105360.39</v>
          </cell>
        </row>
        <row r="35">
          <cell r="C35">
            <v>7817503.1100000003</v>
          </cell>
          <cell r="D35">
            <v>7192446.5800000001</v>
          </cell>
        </row>
        <row r="40">
          <cell r="E40">
            <v>3524225.2</v>
          </cell>
        </row>
        <row r="42">
          <cell r="E42">
            <v>163181.17000000001</v>
          </cell>
        </row>
        <row r="47">
          <cell r="E47">
            <v>60.37</v>
          </cell>
        </row>
        <row r="49">
          <cell r="E49">
            <v>2779584.76</v>
          </cell>
        </row>
      </sheetData>
      <sheetData sheetId="23"/>
      <sheetData sheetId="24"/>
      <sheetData sheetId="25"/>
      <sheetData sheetId="26">
        <row r="13">
          <cell r="C13">
            <v>48131035.289999999</v>
          </cell>
        </row>
        <row r="21">
          <cell r="C21">
            <v>459112.52</v>
          </cell>
        </row>
        <row r="22">
          <cell r="C22">
            <v>104532.53</v>
          </cell>
        </row>
        <row r="23">
          <cell r="C23">
            <v>722193.81</v>
          </cell>
        </row>
        <row r="24">
          <cell r="C24">
            <v>2723893.2</v>
          </cell>
        </row>
      </sheetData>
      <sheetData sheetId="27"/>
      <sheetData sheetId="28"/>
      <sheetData sheetId="29">
        <row r="40">
          <cell r="B40">
            <v>4078615.0000000335</v>
          </cell>
          <cell r="C40">
            <v>3665188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ZiS_31122019"/>
      <sheetName val="Aktywa_31122019"/>
      <sheetName val="Pasywa_31122019"/>
      <sheetName val="ZOiS_31120219"/>
      <sheetName val="ZOiS_2020"/>
    </sheetNames>
    <sheetDataSet>
      <sheetData sheetId="0">
        <row r="5">
          <cell r="C5">
            <v>646921.18000000005</v>
          </cell>
        </row>
      </sheetData>
      <sheetData sheetId="1"/>
      <sheetData sheetId="2">
        <row r="6">
          <cell r="C6">
            <v>576854559</v>
          </cell>
          <cell r="D6">
            <v>576854559</v>
          </cell>
        </row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/>
          <cell r="D11"/>
        </row>
        <row r="12">
          <cell r="C12">
            <v>-94915592.650000095</v>
          </cell>
        </row>
        <row r="13">
          <cell r="C13">
            <v>-12148267.559999974</v>
          </cell>
        </row>
        <row r="14">
          <cell r="C14">
            <v>0</v>
          </cell>
          <cell r="D14">
            <v>0</v>
          </cell>
        </row>
        <row r="17">
          <cell r="C17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601018.77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</row>
        <row r="29">
          <cell r="C29">
            <v>0</v>
          </cell>
          <cell r="D29">
            <v>0</v>
          </cell>
        </row>
        <row r="31">
          <cell r="C31">
            <v>0</v>
          </cell>
          <cell r="D31">
            <v>0</v>
          </cell>
        </row>
        <row r="32">
          <cell r="C32">
            <v>0</v>
          </cell>
          <cell r="D32">
            <v>0</v>
          </cell>
        </row>
        <row r="33">
          <cell r="C33">
            <v>11901706.989999998</v>
          </cell>
        </row>
        <row r="39">
          <cell r="C39">
            <v>0</v>
          </cell>
          <cell r="D39">
            <v>0</v>
          </cell>
        </row>
        <row r="40">
          <cell r="C40">
            <v>0</v>
          </cell>
          <cell r="D40">
            <v>0</v>
          </cell>
        </row>
        <row r="42">
          <cell r="C42"/>
          <cell r="D42"/>
        </row>
        <row r="43">
          <cell r="C43">
            <v>0</v>
          </cell>
          <cell r="D43">
            <v>0</v>
          </cell>
        </row>
        <row r="44">
          <cell r="C44">
            <v>1435411.9799999997</v>
          </cell>
        </row>
        <row r="47">
          <cell r="C47">
            <v>0</v>
          </cell>
          <cell r="D47">
            <v>0</v>
          </cell>
        </row>
        <row r="48">
          <cell r="C48">
            <v>0</v>
          </cell>
          <cell r="D48">
            <v>0</v>
          </cell>
        </row>
        <row r="49">
          <cell r="C49">
            <v>0</v>
          </cell>
          <cell r="D49">
            <v>0</v>
          </cell>
        </row>
        <row r="52">
          <cell r="C52">
            <v>263435.28999999992</v>
          </cell>
        </row>
        <row r="55">
          <cell r="C55">
            <v>0</v>
          </cell>
          <cell r="D55">
            <v>0</v>
          </cell>
        </row>
        <row r="57">
          <cell r="C57">
            <v>22197482.989999998</v>
          </cell>
        </row>
        <row r="58">
          <cell r="C58">
            <v>5449259.0899999999</v>
          </cell>
          <cell r="D58">
            <v>5449259.0899999999</v>
          </cell>
        </row>
      </sheetData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OiS_2019"/>
      <sheetName val="ZOiS_2020"/>
      <sheetName val="ST"/>
      <sheetName val="Aktywa"/>
      <sheetName val="Pasywa"/>
      <sheetName val="RZiS-kalkulacyjny"/>
      <sheetName val="Zestawienie zmian w kapitale"/>
      <sheetName val="RZiS - porownawczy"/>
      <sheetName val="Przepływy - metoda pośrednia"/>
      <sheetName val="CF_Dane_dodatkowe"/>
      <sheetName val="nota_1_BO_012019"/>
      <sheetName val="Przekształcenie_bilans01"/>
      <sheetName val="nota_1_RZiS_012019"/>
      <sheetName val="nota_2_przekszt_bilans2019"/>
      <sheetName val="nota_2_przekszt_RZiS_kalkul"/>
      <sheetName val="nota nr 3 WNiP 20"/>
      <sheetName val="nota nr 4 (p)"/>
      <sheetName val="nota 5"/>
      <sheetName val="nota nr 6(p) "/>
      <sheetName val="nota nr 6 cd. (p)"/>
      <sheetName val="nota 7 IFA (p)"/>
      <sheetName val="nota nr 8 (p)"/>
      <sheetName val="nota nr 9 (p)"/>
      <sheetName val="nota nr 10"/>
      <sheetName val="nota nr 11, 12"/>
      <sheetName val="nota nr 13"/>
      <sheetName val="nota nr 14 (p),15"/>
      <sheetName val="nota nr 16 "/>
      <sheetName val="nota nr 17"/>
      <sheetName val="nota nr 18"/>
      <sheetName val="nota nr 19 i 20"/>
      <sheetName val="nota nr 21 i 22 "/>
      <sheetName val="nota nr 23"/>
      <sheetName val="nota 24 (p)"/>
      <sheetName val="nota nr 25- 27"/>
      <sheetName val="nota nr 28 CF"/>
      <sheetName val="Kontroling"/>
      <sheetName val="Przekształcenie_RZiS_porów"/>
      <sheetName val="nota 6 (p)"/>
      <sheetName val="nota 6 (p) cd"/>
      <sheetName val="nota nr 29-33"/>
      <sheetName val="nota nr 34- 36"/>
      <sheetName val="nota nr 37"/>
      <sheetName val="nota nr 38,39"/>
      <sheetName val="nota nr 40"/>
      <sheetName val="Podpisy "/>
      <sheetName val="arkusz spr"/>
    </sheetNames>
    <sheetDataSet>
      <sheetData sheetId="0"/>
      <sheetData sheetId="1"/>
      <sheetData sheetId="2"/>
      <sheetData sheetId="3"/>
      <sheetData sheetId="4"/>
      <sheetData sheetId="5">
        <row r="9">
          <cell r="E9">
            <v>0</v>
          </cell>
        </row>
        <row r="19">
          <cell r="E19">
            <v>0</v>
          </cell>
        </row>
        <row r="27">
          <cell r="E27">
            <v>0</v>
          </cell>
        </row>
        <row r="28">
          <cell r="E28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0</v>
          </cell>
        </row>
        <row r="43">
          <cell r="E43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2">
          <cell r="E12">
            <v>352377.99000000954</v>
          </cell>
        </row>
        <row r="38">
          <cell r="E38">
            <v>-658433.25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 nr 1 (p)"/>
      <sheetName val="nota nr 2 -3"/>
      <sheetName val="nota nr 4-9"/>
      <sheetName val="nota nr 10"/>
      <sheetName val="nota nr 11-13"/>
      <sheetName val="nota nr 14"/>
      <sheetName val="nota 15"/>
      <sheetName val="nota 16"/>
      <sheetName val="nota 17"/>
      <sheetName val="nota nr 18"/>
      <sheetName val="nota nr 19-22"/>
      <sheetName val="Arkusz3"/>
    </sheetNames>
    <sheetDataSet>
      <sheetData sheetId="0"/>
      <sheetData sheetId="1">
        <row r="10">
          <cell r="D10">
            <v>18327</v>
          </cell>
          <cell r="E10">
            <v>136708.56</v>
          </cell>
          <cell r="F10">
            <v>91868.11</v>
          </cell>
          <cell r="H10">
            <v>246903.66999999998</v>
          </cell>
        </row>
        <row r="20">
          <cell r="D20">
            <v>41562.300000000003</v>
          </cell>
          <cell r="E20">
            <v>147258.19</v>
          </cell>
          <cell r="F20">
            <v>618396.12</v>
          </cell>
        </row>
        <row r="32">
          <cell r="D32">
            <v>4156.2</v>
          </cell>
          <cell r="E32">
            <v>464998.65</v>
          </cell>
          <cell r="F32">
            <v>367486.98</v>
          </cell>
          <cell r="G32">
            <v>7091.01</v>
          </cell>
        </row>
      </sheetData>
      <sheetData sheetId="2"/>
      <sheetData sheetId="3">
        <row r="16">
          <cell r="D16">
            <v>993640.7</v>
          </cell>
          <cell r="E16">
            <v>246272.19</v>
          </cell>
          <cell r="G16">
            <v>914438.81</v>
          </cell>
          <cell r="H16">
            <v>252280.19</v>
          </cell>
        </row>
        <row r="18">
          <cell r="G18">
            <v>16042</v>
          </cell>
        </row>
        <row r="19">
          <cell r="D19">
            <v>387207.5</v>
          </cell>
          <cell r="E19">
            <v>59876.56</v>
          </cell>
          <cell r="G19">
            <v>386948.56</v>
          </cell>
          <cell r="H19">
            <v>59876.56</v>
          </cell>
        </row>
        <row r="38">
          <cell r="D38">
            <v>746843.51</v>
          </cell>
        </row>
        <row r="42">
          <cell r="D42">
            <v>246797.19</v>
          </cell>
          <cell r="E42">
            <v>246272.19</v>
          </cell>
        </row>
        <row r="49">
          <cell r="D49">
            <v>252280.19</v>
          </cell>
          <cell r="F49">
            <v>59876.56</v>
          </cell>
        </row>
        <row r="51">
          <cell r="D51">
            <v>492</v>
          </cell>
        </row>
        <row r="56">
          <cell r="D56">
            <v>6500</v>
          </cell>
        </row>
      </sheetData>
      <sheetData sheetId="4">
        <row r="19">
          <cell r="C19">
            <v>16117.349999999999</v>
          </cell>
          <cell r="D19">
            <v>40212.479999999996</v>
          </cell>
        </row>
        <row r="27">
          <cell r="C27">
            <v>73002.55</v>
          </cell>
          <cell r="D27">
            <v>45416.45</v>
          </cell>
        </row>
        <row r="28">
          <cell r="C28">
            <v>29101.69</v>
          </cell>
          <cell r="D28">
            <v>24404.03</v>
          </cell>
        </row>
        <row r="30">
          <cell r="C30">
            <v>18418.78</v>
          </cell>
          <cell r="D30">
            <v>9797.14</v>
          </cell>
        </row>
        <row r="31">
          <cell r="C31">
            <v>1010.8</v>
          </cell>
          <cell r="D31">
            <v>1362.17</v>
          </cell>
        </row>
        <row r="32">
          <cell r="C32">
            <v>14926.68</v>
          </cell>
          <cell r="D32">
            <v>15936.68</v>
          </cell>
        </row>
      </sheetData>
      <sheetData sheetId="5"/>
      <sheetData sheetId="6"/>
      <sheetData sheetId="7">
        <row r="6">
          <cell r="B6">
            <v>24700</v>
          </cell>
          <cell r="C6">
            <v>1535199.25</v>
          </cell>
          <cell r="D6">
            <v>621199.62</v>
          </cell>
        </row>
        <row r="7">
          <cell r="B7">
            <v>161334.49</v>
          </cell>
        </row>
        <row r="10">
          <cell r="B10">
            <v>18915.53</v>
          </cell>
        </row>
        <row r="11">
          <cell r="B11">
            <v>-10405.219999999999</v>
          </cell>
        </row>
        <row r="12">
          <cell r="B12">
            <v>-13073.77</v>
          </cell>
        </row>
        <row r="14">
          <cell r="B14">
            <v>19965.02</v>
          </cell>
        </row>
        <row r="15">
          <cell r="B15">
            <v>3589.95</v>
          </cell>
        </row>
        <row r="17">
          <cell r="C17">
            <v>-206056.10000000003</v>
          </cell>
          <cell r="D17">
            <v>-94027.5</v>
          </cell>
        </row>
        <row r="22">
          <cell r="B22">
            <v>17100</v>
          </cell>
        </row>
        <row r="23">
          <cell r="B23">
            <v>187926</v>
          </cell>
        </row>
      </sheetData>
      <sheetData sheetId="8">
        <row r="6">
          <cell r="B6">
            <v>25000</v>
          </cell>
          <cell r="C6">
            <v>66431.42</v>
          </cell>
          <cell r="D6">
            <v>135243.65</v>
          </cell>
          <cell r="E6">
            <v>469854.59</v>
          </cell>
        </row>
        <row r="10">
          <cell r="B10">
            <v>12500</v>
          </cell>
          <cell r="D10">
            <v>17633.849999999999</v>
          </cell>
          <cell r="E10">
            <v>62137.23</v>
          </cell>
        </row>
        <row r="11">
          <cell r="B11">
            <v>-25000</v>
          </cell>
          <cell r="C11">
            <v>-6132.09</v>
          </cell>
        </row>
      </sheetData>
      <sheetData sheetId="9">
        <row r="42">
          <cell r="C42">
            <v>1826922.62</v>
          </cell>
        </row>
        <row r="52">
          <cell r="C52">
            <v>1000</v>
          </cell>
        </row>
        <row r="53">
          <cell r="C53">
            <v>17207.259999999998</v>
          </cell>
        </row>
        <row r="79">
          <cell r="E79">
            <v>287052.23</v>
          </cell>
          <cell r="F79">
            <v>331566.78000000003</v>
          </cell>
        </row>
        <row r="80">
          <cell r="E80">
            <v>353303.38</v>
          </cell>
          <cell r="F80">
            <v>624539.93000000005</v>
          </cell>
        </row>
      </sheetData>
      <sheetData sheetId="10">
        <row r="46">
          <cell r="C46">
            <v>623332.26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D_2018"/>
      <sheetName val="SF_2020"/>
      <sheetName val="Arkusz_konsolidacyjny_2020"/>
      <sheetName val="Podatek_odroczony"/>
      <sheetName val="ET_RZIS_kalkul"/>
      <sheetName val="ET_PDOP_należ"/>
      <sheetName val="Korekta amortyzacji_2018"/>
      <sheetName val="SCD_2019"/>
      <sheetName val="Wyliczenie marży"/>
      <sheetName val="ET_koszty"/>
      <sheetName val="Korekta amortyzacji_2020"/>
      <sheetName val="ET_inwestycje_2020"/>
      <sheetName val="ET_inwestycje_19"/>
      <sheetName val="Amortyzacja_LT_2020"/>
      <sheetName val="Amortyzacja _LT_ET_19"/>
    </sheetNames>
    <sheetDataSet>
      <sheetData sheetId="0"/>
      <sheetData sheetId="1"/>
      <sheetData sheetId="2">
        <row r="10">
          <cell r="J10">
            <v>585199.08998194581</v>
          </cell>
        </row>
        <row r="13">
          <cell r="G13">
            <v>-1942017.6066319242</v>
          </cell>
          <cell r="J13">
            <v>463617.39794742048</v>
          </cell>
        </row>
        <row r="14">
          <cell r="G14">
            <v>-148977.19715378879</v>
          </cell>
          <cell r="J14">
            <v>43390.751145414666</v>
          </cell>
        </row>
        <row r="16">
          <cell r="G16">
            <v>-250390.90715478861</v>
          </cell>
          <cell r="J16">
            <v>78190.940889110658</v>
          </cell>
        </row>
        <row r="132">
          <cell r="C132">
            <v>32850001.989999998</v>
          </cell>
          <cell r="G132">
            <v>-28853053.98</v>
          </cell>
          <cell r="H132">
            <v>-632615.04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 nr 1 (p)"/>
      <sheetName val="nota nr 2 -3"/>
      <sheetName val="nota nr 4-9"/>
      <sheetName val="nota nr 10"/>
      <sheetName val="nota nr 11-13"/>
      <sheetName val="nota nr 14"/>
      <sheetName val="nota 15"/>
      <sheetName val="nota 16"/>
      <sheetName val="nota 17"/>
      <sheetName val="nota nr 18"/>
      <sheetName val="nota nr 19-22"/>
      <sheetName val="Arkusz3"/>
    </sheetNames>
    <sheetDataSet>
      <sheetData sheetId="0"/>
      <sheetData sheetId="1">
        <row r="39">
          <cell r="D39">
            <v>40479.81</v>
          </cell>
          <cell r="E39">
            <v>145679.41</v>
          </cell>
          <cell r="F39">
            <v>491586.52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 nr 9 (p)"/>
    </sheetNames>
    <sheetDataSet>
      <sheetData sheetId="0" refreshError="1">
        <row r="15">
          <cell r="F15">
            <v>13328769.029999999</v>
          </cell>
        </row>
        <row r="17">
          <cell r="D17">
            <v>489980.44</v>
          </cell>
        </row>
        <row r="24">
          <cell r="D24">
            <v>9840</v>
          </cell>
        </row>
        <row r="40">
          <cell r="C40">
            <v>12330817.33</v>
          </cell>
        </row>
        <row r="42">
          <cell r="C42">
            <v>559687.46</v>
          </cell>
        </row>
        <row r="47">
          <cell r="C47">
            <v>1935682.82</v>
          </cell>
        </row>
        <row r="49">
          <cell r="C49">
            <v>3591525.82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liczenia międzyokr.przych i "/>
    </sheetNames>
    <sheetDataSet>
      <sheetData sheetId="0" refreshError="1">
        <row r="8">
          <cell r="B8">
            <v>4162.5</v>
          </cell>
        </row>
        <row r="17">
          <cell r="B17">
            <v>2731558.64</v>
          </cell>
        </row>
        <row r="19">
          <cell r="B19">
            <v>3624260.87</v>
          </cell>
          <cell r="C19">
            <v>2899480.44</v>
          </cell>
        </row>
        <row r="20">
          <cell r="B20">
            <v>297155.45</v>
          </cell>
          <cell r="C20">
            <v>522271.36</v>
          </cell>
        </row>
        <row r="21">
          <cell r="B21">
            <v>7422629.2999999998</v>
          </cell>
        </row>
        <row r="22">
          <cell r="B22">
            <v>109010.6</v>
          </cell>
        </row>
        <row r="23">
          <cell r="B23">
            <v>2777040.1399999997</v>
          </cell>
          <cell r="C23">
            <v>1068546.31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view="pageBreakPreview" topLeftCell="A19" zoomScaleNormal="100" zoomScaleSheetLayoutView="100" workbookViewId="0">
      <selection activeCell="A13" sqref="A13"/>
    </sheetView>
  </sheetViews>
  <sheetFormatPr defaultRowHeight="15" x14ac:dyDescent="0.25"/>
  <cols>
    <col min="1" max="1" width="54.140625" style="3" customWidth="1"/>
    <col min="2" max="2" width="14.85546875" style="3" bestFit="1" customWidth="1"/>
    <col min="3" max="3" width="13.5703125" style="3" bestFit="1" customWidth="1"/>
    <col min="4" max="4" width="17" style="3" customWidth="1"/>
    <col min="5" max="5" width="13.5703125" style="3" bestFit="1" customWidth="1"/>
  </cols>
  <sheetData>
    <row r="1" spans="1:5" ht="15.75" x14ac:dyDescent="0.25">
      <c r="A1" s="583" t="s">
        <v>0</v>
      </c>
      <c r="B1" s="583"/>
      <c r="C1" s="583"/>
      <c r="D1" s="583"/>
      <c r="E1" s="583"/>
    </row>
    <row r="2" spans="1:5" ht="15.75" x14ac:dyDescent="0.25">
      <c r="A2" s="1" t="s">
        <v>1</v>
      </c>
      <c r="B2" s="1"/>
      <c r="C2" s="1"/>
      <c r="D2" s="1"/>
      <c r="E2" s="1"/>
    </row>
    <row r="3" spans="1:5" ht="15.75" x14ac:dyDescent="0.25">
      <c r="A3" s="2" t="s">
        <v>2</v>
      </c>
      <c r="B3" s="2"/>
      <c r="C3" s="1"/>
      <c r="D3" s="1"/>
      <c r="E3" s="1"/>
    </row>
    <row r="4" spans="1:5" x14ac:dyDescent="0.25">
      <c r="A4" s="584" t="s">
        <v>3</v>
      </c>
      <c r="B4" s="584"/>
      <c r="C4" s="584"/>
      <c r="D4" s="584"/>
      <c r="E4" s="584"/>
    </row>
    <row r="5" spans="1:5" ht="39.75" customHeight="1" x14ac:dyDescent="0.25">
      <c r="A5" s="582" t="s">
        <v>540</v>
      </c>
      <c r="B5" s="582"/>
      <c r="C5" s="582"/>
      <c r="D5" s="582"/>
      <c r="E5" s="582"/>
    </row>
    <row r="6" spans="1:5" ht="27.75" customHeight="1" x14ac:dyDescent="0.25">
      <c r="A6" s="582" t="s">
        <v>4</v>
      </c>
      <c r="B6" s="582"/>
      <c r="C6" s="582"/>
      <c r="D6" s="582"/>
      <c r="E6" s="582"/>
    </row>
    <row r="7" spans="1:5" x14ac:dyDescent="0.25">
      <c r="A7" s="584" t="s">
        <v>5</v>
      </c>
      <c r="B7" s="584"/>
      <c r="C7" s="584"/>
      <c r="D7" s="584"/>
      <c r="E7" s="584"/>
    </row>
    <row r="8" spans="1:5" x14ac:dyDescent="0.25">
      <c r="A8" s="584" t="s">
        <v>6</v>
      </c>
      <c r="B8" s="584"/>
      <c r="C8" s="584"/>
      <c r="D8" s="584"/>
      <c r="E8" s="584"/>
    </row>
    <row r="9" spans="1:5" x14ac:dyDescent="0.25">
      <c r="A9" s="4"/>
      <c r="B9" s="4"/>
      <c r="C9" s="4"/>
      <c r="D9" s="4"/>
      <c r="E9" s="4"/>
    </row>
    <row r="10" spans="1:5" ht="15.75" x14ac:dyDescent="0.25">
      <c r="A10" s="579" t="s">
        <v>7</v>
      </c>
      <c r="B10" s="579"/>
      <c r="C10" s="579"/>
      <c r="D10" s="579"/>
    </row>
    <row r="11" spans="1:5" ht="15.75" x14ac:dyDescent="0.25">
      <c r="A11" s="580" t="s">
        <v>8</v>
      </c>
      <c r="B11" s="580"/>
      <c r="C11" s="580"/>
      <c r="D11" s="580"/>
    </row>
    <row r="12" spans="1:5" ht="15.75" thickBot="1" x14ac:dyDescent="0.3"/>
    <row r="13" spans="1:5" ht="32.25" thickTop="1" x14ac:dyDescent="0.25">
      <c r="A13" s="6" t="s">
        <v>9</v>
      </c>
      <c r="B13" s="7" t="s">
        <v>10</v>
      </c>
      <c r="C13" s="7" t="s">
        <v>11</v>
      </c>
      <c r="D13" s="7" t="s">
        <v>12</v>
      </c>
      <c r="E13" s="8" t="s">
        <v>13</v>
      </c>
    </row>
    <row r="14" spans="1:5" x14ac:dyDescent="0.25">
      <c r="A14" s="9" t="s">
        <v>14</v>
      </c>
      <c r="B14" s="10">
        <f>B15+B16+B17+B18+B19+B21+B20</f>
        <v>453085214.98000008</v>
      </c>
      <c r="C14" s="10">
        <f>C15+C16+C17+C18+C19+C21+C20</f>
        <v>-13901517.050000001</v>
      </c>
      <c r="D14" s="10">
        <f>D16+D15+D17+D18+D19+D21+D20</f>
        <v>-4669255.93</v>
      </c>
      <c r="E14" s="11">
        <f>E15+E16+E18+E19+E21+E20+E17</f>
        <v>439183697.93000007</v>
      </c>
    </row>
    <row r="15" spans="1:5" x14ac:dyDescent="0.25">
      <c r="A15" s="12" t="s">
        <v>15</v>
      </c>
      <c r="B15" s="13">
        <v>72524670.609999999</v>
      </c>
      <c r="C15" s="13">
        <f>'[1]nota nr 4 (p)'!C39</f>
        <v>6361033.5700000003</v>
      </c>
      <c r="D15" s="13">
        <f>-(983000+3686255.93)</f>
        <v>-4669255.93</v>
      </c>
      <c r="E15" s="14">
        <f t="shared" ref="E15:E21" si="0">B15+C15</f>
        <v>78885704.180000007</v>
      </c>
    </row>
    <row r="16" spans="1:5" x14ac:dyDescent="0.25">
      <c r="A16" s="15" t="s">
        <v>16</v>
      </c>
      <c r="B16" s="16">
        <v>328292120.48000002</v>
      </c>
      <c r="C16" s="16">
        <v>0</v>
      </c>
      <c r="D16" s="13">
        <v>0</v>
      </c>
      <c r="E16" s="14">
        <f t="shared" si="0"/>
        <v>328292120.48000002</v>
      </c>
    </row>
    <row r="17" spans="1:5" x14ac:dyDescent="0.25">
      <c r="A17" s="12" t="s">
        <v>17</v>
      </c>
      <c r="B17" s="16">
        <f>13720669.05+'[1]nota nr 4 (p)'!C39</f>
        <v>20081702.620000001</v>
      </c>
      <c r="C17" s="16">
        <f>-B17</f>
        <v>-20081702.620000001</v>
      </c>
      <c r="D17" s="13">
        <v>0</v>
      </c>
      <c r="E17" s="14">
        <f t="shared" si="0"/>
        <v>0</v>
      </c>
    </row>
    <row r="18" spans="1:5" x14ac:dyDescent="0.25">
      <c r="A18" s="12" t="s">
        <v>18</v>
      </c>
      <c r="B18" s="16">
        <v>351526.61</v>
      </c>
      <c r="C18" s="16">
        <v>0</v>
      </c>
      <c r="D18" s="13">
        <v>0</v>
      </c>
      <c r="E18" s="14">
        <f t="shared" si="0"/>
        <v>351526.61</v>
      </c>
    </row>
    <row r="19" spans="1:5" x14ac:dyDescent="0.25">
      <c r="A19" s="12" t="s">
        <v>19</v>
      </c>
      <c r="B19" s="16">
        <f>[1]Przekształcenie_bilans01!C26</f>
        <v>0</v>
      </c>
      <c r="C19" s="16">
        <v>0</v>
      </c>
      <c r="D19" s="13">
        <v>0</v>
      </c>
      <c r="E19" s="14">
        <f t="shared" si="0"/>
        <v>0</v>
      </c>
    </row>
    <row r="20" spans="1:5" x14ac:dyDescent="0.25">
      <c r="A20" s="12" t="s">
        <v>20</v>
      </c>
      <c r="B20" s="16">
        <v>9015856.6600000001</v>
      </c>
      <c r="C20" s="16">
        <v>0</v>
      </c>
      <c r="D20" s="13">
        <v>0</v>
      </c>
      <c r="E20" s="14">
        <f t="shared" si="0"/>
        <v>9015856.6600000001</v>
      </c>
    </row>
    <row r="21" spans="1:5" x14ac:dyDescent="0.25">
      <c r="A21" s="12" t="s">
        <v>21</v>
      </c>
      <c r="B21" s="13">
        <v>22819338</v>
      </c>
      <c r="C21" s="13">
        <v>-180848</v>
      </c>
      <c r="D21" s="13">
        <v>0</v>
      </c>
      <c r="E21" s="14">
        <f t="shared" si="0"/>
        <v>22638490</v>
      </c>
    </row>
    <row r="22" spans="1:5" x14ac:dyDescent="0.25">
      <c r="A22" s="9" t="s">
        <v>22</v>
      </c>
      <c r="B22" s="10">
        <f>B23+B24+B25+B26</f>
        <v>156989938.51999998</v>
      </c>
      <c r="C22" s="10">
        <f>C23+C24+C25+C26</f>
        <v>0</v>
      </c>
      <c r="D22" s="10">
        <f>D23+D24+D25+D26</f>
        <v>0</v>
      </c>
      <c r="E22" s="11">
        <f>B22-C22</f>
        <v>156989938.51999998</v>
      </c>
    </row>
    <row r="23" spans="1:5" x14ac:dyDescent="0.25">
      <c r="A23" s="15" t="s">
        <v>23</v>
      </c>
      <c r="B23" s="13">
        <v>1647781.81</v>
      </c>
      <c r="C23" s="13">
        <v>0</v>
      </c>
      <c r="D23" s="13">
        <v>0</v>
      </c>
      <c r="E23" s="14">
        <f>B23+C23</f>
        <v>1647781.81</v>
      </c>
    </row>
    <row r="24" spans="1:5" x14ac:dyDescent="0.25">
      <c r="A24" s="15" t="s">
        <v>24</v>
      </c>
      <c r="B24" s="13">
        <f>306048+69083777.4</f>
        <v>69389825.400000006</v>
      </c>
      <c r="C24" s="13">
        <v>0</v>
      </c>
      <c r="D24" s="13">
        <v>0</v>
      </c>
      <c r="E24" s="14">
        <f>B24+C24</f>
        <v>69389825.400000006</v>
      </c>
    </row>
    <row r="25" spans="1:5" x14ac:dyDescent="0.25">
      <c r="A25" s="12" t="s">
        <v>25</v>
      </c>
      <c r="B25" s="13">
        <v>65080613.979999997</v>
      </c>
      <c r="C25" s="13">
        <f>[1]ZOiS_2019!K67+[1]ZOiS_2019!K72</f>
        <v>137591.01999999999</v>
      </c>
      <c r="D25" s="13">
        <v>0</v>
      </c>
      <c r="E25" s="14">
        <f>B25+C25</f>
        <v>65218205</v>
      </c>
    </row>
    <row r="26" spans="1:5" x14ac:dyDescent="0.25">
      <c r="A26" s="15" t="s">
        <v>26</v>
      </c>
      <c r="B26" s="13">
        <v>20871717.329999998</v>
      </c>
      <c r="C26" s="13">
        <f>-([1]ZOiS_2019!K67+[1]ZOiS_2019!K72)</f>
        <v>-137591.01999999999</v>
      </c>
      <c r="D26" s="13">
        <v>0</v>
      </c>
      <c r="E26" s="14">
        <f>B26+C26</f>
        <v>20734126.309999999</v>
      </c>
    </row>
    <row r="27" spans="1:5" x14ac:dyDescent="0.25">
      <c r="A27" s="9" t="s">
        <v>27</v>
      </c>
      <c r="B27" s="10">
        <v>0</v>
      </c>
      <c r="C27" s="10">
        <v>0</v>
      </c>
      <c r="D27" s="10">
        <v>0</v>
      </c>
      <c r="E27" s="11">
        <v>0</v>
      </c>
    </row>
    <row r="28" spans="1:5" x14ac:dyDescent="0.25">
      <c r="A28" s="9" t="s">
        <v>28</v>
      </c>
      <c r="B28" s="10">
        <v>0</v>
      </c>
      <c r="C28" s="10">
        <v>0</v>
      </c>
      <c r="D28" s="10">
        <v>0</v>
      </c>
      <c r="E28" s="11">
        <v>0</v>
      </c>
    </row>
    <row r="29" spans="1:5" ht="15.75" thickBot="1" x14ac:dyDescent="0.3">
      <c r="A29" s="17" t="s">
        <v>29</v>
      </c>
      <c r="B29" s="18">
        <f>B14+B22+B27+B28</f>
        <v>610075153.5</v>
      </c>
      <c r="C29" s="18">
        <f>C14+C22+C27+C28</f>
        <v>-13901517.050000001</v>
      </c>
      <c r="D29" s="18">
        <f>D14+D22+D27+D28</f>
        <v>-4669255.93</v>
      </c>
      <c r="E29" s="19">
        <f>E14+E22+E27+E28</f>
        <v>596173636.45000005</v>
      </c>
    </row>
    <row r="30" spans="1:5" ht="15.75" thickTop="1" x14ac:dyDescent="0.25"/>
    <row r="31" spans="1:5" ht="15.75" x14ac:dyDescent="0.25">
      <c r="A31" s="581" t="s">
        <v>30</v>
      </c>
      <c r="B31" s="581"/>
      <c r="C31" s="581"/>
      <c r="D31" s="581"/>
    </row>
    <row r="32" spans="1:5" ht="16.5" thickBot="1" x14ac:dyDescent="0.3">
      <c r="A32" s="21"/>
      <c r="B32" s="21"/>
      <c r="C32" s="21"/>
      <c r="D32" s="21"/>
      <c r="E32" s="21"/>
    </row>
    <row r="33" spans="1:5" ht="32.25" thickTop="1" x14ac:dyDescent="0.25">
      <c r="A33" s="22" t="s">
        <v>9</v>
      </c>
      <c r="B33" s="7" t="s">
        <v>10</v>
      </c>
      <c r="C33" s="7" t="s">
        <v>11</v>
      </c>
      <c r="D33" s="7" t="s">
        <v>12</v>
      </c>
      <c r="E33" s="8" t="s">
        <v>13</v>
      </c>
    </row>
    <row r="34" spans="1:5" x14ac:dyDescent="0.25">
      <c r="A34" s="23" t="s">
        <v>31</v>
      </c>
      <c r="B34" s="24">
        <f>B35+B36+B37</f>
        <v>481611298.25</v>
      </c>
      <c r="C34" s="24">
        <f>C35+C36+C37</f>
        <v>0</v>
      </c>
      <c r="D34" s="24">
        <f>D35+D36+D37</f>
        <v>-4669255.93</v>
      </c>
      <c r="E34" s="25">
        <f t="shared" ref="E34:E50" si="1">B34+C34</f>
        <v>481611298.25</v>
      </c>
    </row>
    <row r="35" spans="1:5" x14ac:dyDescent="0.25">
      <c r="A35" s="26" t="s">
        <v>32</v>
      </c>
      <c r="B35" s="27">
        <f>[1]Przekształcenie_bilans01!C86</f>
        <v>576854559</v>
      </c>
      <c r="C35" s="27">
        <v>0</v>
      </c>
      <c r="D35" s="27">
        <v>0</v>
      </c>
      <c r="E35" s="28">
        <f t="shared" si="1"/>
        <v>576854559</v>
      </c>
    </row>
    <row r="36" spans="1:5" x14ac:dyDescent="0.25">
      <c r="A36" s="26" t="s">
        <v>33</v>
      </c>
      <c r="B36" s="27">
        <v>-73700279.349999994</v>
      </c>
      <c r="C36" s="27">
        <v>0</v>
      </c>
      <c r="D36" s="27">
        <f>D29</f>
        <v>-4669255.93</v>
      </c>
      <c r="E36" s="28">
        <f t="shared" si="1"/>
        <v>-73700279.349999994</v>
      </c>
    </row>
    <row r="37" spans="1:5" x14ac:dyDescent="0.25">
      <c r="A37" s="29" t="s">
        <v>34</v>
      </c>
      <c r="B37" s="30">
        <v>-21542981.399999999</v>
      </c>
      <c r="C37" s="30">
        <v>0</v>
      </c>
      <c r="D37" s="30">
        <v>0</v>
      </c>
      <c r="E37" s="28">
        <f t="shared" si="1"/>
        <v>-21542981.399999999</v>
      </c>
    </row>
    <row r="38" spans="1:5" x14ac:dyDescent="0.25">
      <c r="A38" s="23" t="s">
        <v>35</v>
      </c>
      <c r="B38" s="24">
        <f>B39+B45+B48</f>
        <v>128463855.25</v>
      </c>
      <c r="C38" s="24">
        <f>C39+C48+C45</f>
        <v>-13901517.050000001</v>
      </c>
      <c r="D38" s="24">
        <f>D39+D48+D45</f>
        <v>0</v>
      </c>
      <c r="E38" s="25">
        <f t="shared" si="1"/>
        <v>114562338.2</v>
      </c>
    </row>
    <row r="39" spans="1:5" x14ac:dyDescent="0.25">
      <c r="A39" s="31" t="s">
        <v>36</v>
      </c>
      <c r="B39" s="32">
        <f>B40+B41+B42+B43+B44</f>
        <v>33051974.559999999</v>
      </c>
      <c r="C39" s="32">
        <f>C40+C41+C42+C43</f>
        <v>-10254382.5</v>
      </c>
      <c r="D39" s="32">
        <f>D40+D41+D42+D43</f>
        <v>0</v>
      </c>
      <c r="E39" s="33">
        <f t="shared" si="1"/>
        <v>22797592.059999999</v>
      </c>
    </row>
    <row r="40" spans="1:5" x14ac:dyDescent="0.25">
      <c r="A40" s="29" t="s">
        <v>37</v>
      </c>
      <c r="B40" s="30">
        <f>13720669.05-3647134.55+331155.06</f>
        <v>10404689.560000001</v>
      </c>
      <c r="C40" s="30">
        <v>-10073534.5</v>
      </c>
      <c r="D40" s="30">
        <v>0</v>
      </c>
      <c r="E40" s="34">
        <f t="shared" si="1"/>
        <v>331155.06000000052</v>
      </c>
    </row>
    <row r="41" spans="1:5" x14ac:dyDescent="0.25">
      <c r="A41" s="26" t="s">
        <v>38</v>
      </c>
      <c r="B41" s="30">
        <v>540132.76</v>
      </c>
      <c r="C41" s="30">
        <v>0</v>
      </c>
      <c r="D41" s="30">
        <v>0</v>
      </c>
      <c r="E41" s="34">
        <f t="shared" si="1"/>
        <v>540132.76</v>
      </c>
    </row>
    <row r="42" spans="1:5" x14ac:dyDescent="0.25">
      <c r="A42" s="29" t="s">
        <v>39</v>
      </c>
      <c r="B42" s="30">
        <f>[1]Przekształcenie_bilans01!C137</f>
        <v>21922648.84</v>
      </c>
      <c r="C42" s="30">
        <v>0</v>
      </c>
      <c r="D42" s="30">
        <v>0</v>
      </c>
      <c r="E42" s="34">
        <f t="shared" si="1"/>
        <v>21922648.84</v>
      </c>
    </row>
    <row r="43" spans="1:5" x14ac:dyDescent="0.25">
      <c r="A43" s="29" t="s">
        <v>40</v>
      </c>
      <c r="B43" s="30">
        <f>-C43</f>
        <v>180848</v>
      </c>
      <c r="C43" s="30">
        <f>C21</f>
        <v>-180848</v>
      </c>
      <c r="D43" s="30">
        <v>0</v>
      </c>
      <c r="E43" s="34">
        <f t="shared" si="1"/>
        <v>0</v>
      </c>
    </row>
    <row r="44" spans="1:5" x14ac:dyDescent="0.25">
      <c r="A44" s="29" t="s">
        <v>41</v>
      </c>
      <c r="B44" s="30">
        <v>3655.4</v>
      </c>
      <c r="C44" s="30">
        <v>0</v>
      </c>
      <c r="D44" s="30">
        <v>0</v>
      </c>
      <c r="E44" s="34">
        <f t="shared" si="1"/>
        <v>3655.4</v>
      </c>
    </row>
    <row r="45" spans="1:5" x14ac:dyDescent="0.25">
      <c r="A45" s="31" t="s">
        <v>42</v>
      </c>
      <c r="B45" s="32">
        <f>B46+B47</f>
        <v>11249182.969999999</v>
      </c>
      <c r="C45" s="32">
        <f>C46+C47</f>
        <v>0</v>
      </c>
      <c r="D45" s="32">
        <f>D46+D47</f>
        <v>0</v>
      </c>
      <c r="E45" s="25">
        <f t="shared" si="1"/>
        <v>11249182.969999999</v>
      </c>
    </row>
    <row r="46" spans="1:5" x14ac:dyDescent="0.25">
      <c r="A46" s="29" t="s">
        <v>43</v>
      </c>
      <c r="B46" s="30">
        <v>1241039.02</v>
      </c>
      <c r="C46" s="30">
        <v>0</v>
      </c>
      <c r="D46" s="30">
        <v>0</v>
      </c>
      <c r="E46" s="34">
        <f t="shared" si="1"/>
        <v>1241039.02</v>
      </c>
    </row>
    <row r="47" spans="1:5" x14ac:dyDescent="0.25">
      <c r="A47" s="29" t="s">
        <v>44</v>
      </c>
      <c r="B47" s="30">
        <v>10008143.949999999</v>
      </c>
      <c r="C47" s="30">
        <v>0</v>
      </c>
      <c r="D47" s="30">
        <v>0</v>
      </c>
      <c r="E47" s="34">
        <f t="shared" si="1"/>
        <v>10008143.949999999</v>
      </c>
    </row>
    <row r="48" spans="1:5" x14ac:dyDescent="0.25">
      <c r="A48" s="31" t="s">
        <v>45</v>
      </c>
      <c r="B48" s="32">
        <f>B49+B50+B51+B52</f>
        <v>84162697.719999999</v>
      </c>
      <c r="C48" s="32">
        <f>C49+C50+C51</f>
        <v>-3647134.55</v>
      </c>
      <c r="D48" s="32">
        <f>D49+D50+D51</f>
        <v>0</v>
      </c>
      <c r="E48" s="33">
        <f t="shared" si="1"/>
        <v>80515563.170000002</v>
      </c>
    </row>
    <row r="49" spans="1:5" x14ac:dyDescent="0.25">
      <c r="A49" s="29" t="s">
        <v>46</v>
      </c>
      <c r="B49" s="30">
        <f>66045969.45+4987709.74</f>
        <v>71033679.189999998</v>
      </c>
      <c r="C49" s="30">
        <v>0</v>
      </c>
      <c r="D49" s="30">
        <v>0</v>
      </c>
      <c r="E49" s="34">
        <f t="shared" si="1"/>
        <v>71033679.189999998</v>
      </c>
    </row>
    <row r="50" spans="1:5" x14ac:dyDescent="0.25">
      <c r="A50" s="29" t="s">
        <v>47</v>
      </c>
      <c r="B50" s="27">
        <f>3647134.55+211796.98</f>
        <v>3858931.53</v>
      </c>
      <c r="C50" s="27">
        <v>-3647134.55</v>
      </c>
      <c r="D50" s="27">
        <v>0</v>
      </c>
      <c r="E50" s="34">
        <f t="shared" si="1"/>
        <v>211796.97999999998</v>
      </c>
    </row>
    <row r="51" spans="1:5" x14ac:dyDescent="0.25">
      <c r="A51" s="29" t="s">
        <v>48</v>
      </c>
      <c r="B51" s="30">
        <f>3543187.72+1155799.31-273</f>
        <v>4698714.03</v>
      </c>
      <c r="C51" s="30">
        <v>0</v>
      </c>
      <c r="D51" s="30">
        <v>0</v>
      </c>
      <c r="E51" s="34">
        <f>B51+C51-273</f>
        <v>4698441.03</v>
      </c>
    </row>
    <row r="52" spans="1:5" x14ac:dyDescent="0.25">
      <c r="A52" s="36" t="s">
        <v>49</v>
      </c>
      <c r="B52" s="30">
        <v>4571372.97</v>
      </c>
      <c r="C52" s="30">
        <v>0</v>
      </c>
      <c r="D52" s="30">
        <v>0</v>
      </c>
      <c r="E52" s="34">
        <f>B52+C52</f>
        <v>4571372.97</v>
      </c>
    </row>
    <row r="53" spans="1:5" ht="15.75" thickBot="1" x14ac:dyDescent="0.3">
      <c r="A53" s="37" t="s">
        <v>50</v>
      </c>
      <c r="B53" s="38">
        <f>B34+B38</f>
        <v>610075153.5</v>
      </c>
      <c r="C53" s="38">
        <f>C34+C38</f>
        <v>-13901517.050000001</v>
      </c>
      <c r="D53" s="38">
        <f>D34+D38</f>
        <v>-4669255.93</v>
      </c>
      <c r="E53" s="39">
        <f>E34+E38</f>
        <v>596173636.45000005</v>
      </c>
    </row>
    <row r="54" spans="1:5" ht="15.75" thickTop="1" x14ac:dyDescent="0.25"/>
    <row r="55" spans="1:5" x14ac:dyDescent="0.25">
      <c r="A55" s="582"/>
      <c r="B55" s="582"/>
      <c r="C55" s="582"/>
      <c r="D55" s="582"/>
    </row>
    <row r="56" spans="1:5" x14ac:dyDescent="0.25">
      <c r="A56" s="582"/>
      <c r="B56" s="582"/>
      <c r="C56" s="582"/>
      <c r="D56" s="582"/>
    </row>
    <row r="57" spans="1:5" x14ac:dyDescent="0.25">
      <c r="A57" s="40"/>
      <c r="B57" s="40"/>
      <c r="C57" s="40"/>
      <c r="D57" s="40"/>
    </row>
    <row r="59" spans="1:5" x14ac:dyDescent="0.25">
      <c r="D59" s="20"/>
    </row>
    <row r="62" spans="1:5" x14ac:dyDescent="0.25">
      <c r="B62" s="20"/>
    </row>
    <row r="63" spans="1:5" x14ac:dyDescent="0.25">
      <c r="B63" s="41"/>
      <c r="C63" s="41"/>
      <c r="D63" s="41"/>
      <c r="E63" s="41"/>
    </row>
  </sheetData>
  <mergeCells count="10">
    <mergeCell ref="A10:D10"/>
    <mergeCell ref="A11:D11"/>
    <mergeCell ref="A31:D31"/>
    <mergeCell ref="A55:D56"/>
    <mergeCell ref="A1:E1"/>
    <mergeCell ref="A4:E4"/>
    <mergeCell ref="A5:E5"/>
    <mergeCell ref="A6:E6"/>
    <mergeCell ref="A7:E7"/>
    <mergeCell ref="A8:E8"/>
  </mergeCells>
  <pageMargins left="0.7" right="0.7" top="0.75" bottom="0.75" header="0.3" footer="0.3"/>
  <pageSetup paperSize="9" scale="7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zoomScale="85" zoomScaleNormal="100" zoomScaleSheetLayoutView="85" workbookViewId="0">
      <selection activeCell="A13" sqref="A13"/>
    </sheetView>
  </sheetViews>
  <sheetFormatPr defaultRowHeight="15" x14ac:dyDescent="0.25"/>
  <cols>
    <col min="1" max="1" width="5.28515625" style="223" customWidth="1"/>
    <col min="2" max="2" width="29" style="224" customWidth="1"/>
    <col min="3" max="3" width="15.7109375" style="225" customWidth="1"/>
    <col min="4" max="4" width="13" style="225" customWidth="1"/>
    <col min="5" max="5" width="14.42578125" style="225" customWidth="1"/>
    <col min="6" max="6" width="12.5703125" style="225" customWidth="1"/>
  </cols>
  <sheetData>
    <row r="1" spans="1:6" ht="15.75" x14ac:dyDescent="0.25">
      <c r="A1" s="513" t="s">
        <v>316</v>
      </c>
      <c r="B1" s="514"/>
      <c r="C1" s="515"/>
      <c r="D1" s="516"/>
      <c r="E1" s="516"/>
      <c r="F1" s="516"/>
    </row>
    <row r="2" spans="1:6" ht="15.75" x14ac:dyDescent="0.25">
      <c r="A2" s="611" t="s">
        <v>317</v>
      </c>
      <c r="B2" s="611"/>
      <c r="C2" s="611"/>
      <c r="D2" s="611"/>
      <c r="E2" s="611"/>
      <c r="F2" s="517"/>
    </row>
    <row r="3" spans="1:6" ht="16.5" thickBot="1" x14ac:dyDescent="0.3">
      <c r="A3" s="518"/>
      <c r="B3" s="518"/>
      <c r="C3" s="518"/>
      <c r="D3" s="518"/>
      <c r="E3" s="518"/>
      <c r="F3" s="517"/>
    </row>
    <row r="4" spans="1:6" ht="15.75" thickTop="1" x14ac:dyDescent="0.25">
      <c r="A4" s="612" t="s">
        <v>56</v>
      </c>
      <c r="B4" s="614" t="s">
        <v>318</v>
      </c>
      <c r="C4" s="616" t="s">
        <v>319</v>
      </c>
      <c r="D4" s="616"/>
      <c r="E4" s="616"/>
      <c r="F4" s="617"/>
    </row>
    <row r="5" spans="1:6" ht="31.5" x14ac:dyDescent="0.25">
      <c r="A5" s="613"/>
      <c r="B5" s="615"/>
      <c r="C5" s="219" t="s">
        <v>106</v>
      </c>
      <c r="D5" s="219" t="s">
        <v>320</v>
      </c>
      <c r="E5" s="219" t="s">
        <v>108</v>
      </c>
      <c r="F5" s="220" t="s">
        <v>107</v>
      </c>
    </row>
    <row r="6" spans="1:6" x14ac:dyDescent="0.25">
      <c r="A6" s="519" t="s">
        <v>64</v>
      </c>
      <c r="B6" s="520" t="s">
        <v>321</v>
      </c>
      <c r="C6" s="517">
        <f>316328.19+460296.61</f>
        <v>776624.8</v>
      </c>
      <c r="D6" s="517">
        <v>280463.51</v>
      </c>
      <c r="E6" s="517">
        <f>[1]ZOiS_2020!O219+[1]ZOiS_2020!O218</f>
        <v>3720162.5100000002</v>
      </c>
      <c r="F6" s="521">
        <v>0</v>
      </c>
    </row>
    <row r="7" spans="1:6" x14ac:dyDescent="0.25">
      <c r="A7" s="519" t="s">
        <v>66</v>
      </c>
      <c r="B7" s="520" t="s">
        <v>322</v>
      </c>
      <c r="C7" s="517">
        <v>51925.79</v>
      </c>
      <c r="D7" s="517">
        <v>0</v>
      </c>
      <c r="E7" s="517">
        <v>0</v>
      </c>
      <c r="F7" s="521">
        <v>0</v>
      </c>
    </row>
    <row r="8" spans="1:6" x14ac:dyDescent="0.25">
      <c r="A8" s="519" t="s">
        <v>68</v>
      </c>
      <c r="B8" s="520" t="s">
        <v>323</v>
      </c>
      <c r="C8" s="517">
        <v>81110.45</v>
      </c>
      <c r="D8" s="517">
        <v>0</v>
      </c>
      <c r="E8" s="517">
        <v>0</v>
      </c>
      <c r="F8" s="521">
        <v>0</v>
      </c>
    </row>
    <row r="9" spans="1:6" x14ac:dyDescent="0.25">
      <c r="A9" s="519" t="s">
        <v>70</v>
      </c>
      <c r="B9" s="520" t="s">
        <v>324</v>
      </c>
      <c r="C9" s="517">
        <f>169121.6+85500</f>
        <v>254621.6</v>
      </c>
      <c r="D9" s="517">
        <v>0</v>
      </c>
      <c r="E9" s="517">
        <v>0</v>
      </c>
      <c r="F9" s="521">
        <v>0</v>
      </c>
    </row>
    <row r="10" spans="1:6" x14ac:dyDescent="0.25">
      <c r="A10" s="618" t="s">
        <v>325</v>
      </c>
      <c r="B10" s="619"/>
      <c r="C10" s="522">
        <f>SUM(C6+C7+C8+C9)</f>
        <v>1164282.6400000001</v>
      </c>
      <c r="D10" s="522">
        <f>SUM(D6+D7+D8+D9)</f>
        <v>280463.51</v>
      </c>
      <c r="E10" s="522">
        <f>SUM(E6+E7+E8+E9)</f>
        <v>3720162.5100000002</v>
      </c>
      <c r="F10" s="523">
        <f>SUM(F6+F7+F8+F9)</f>
        <v>0</v>
      </c>
    </row>
    <row r="11" spans="1:6" x14ac:dyDescent="0.25">
      <c r="A11" s="620" t="s">
        <v>326</v>
      </c>
      <c r="B11" s="621"/>
      <c r="C11" s="524">
        <v>-41954.02</v>
      </c>
      <c r="D11" s="524">
        <v>0</v>
      </c>
      <c r="E11" s="524">
        <v>0</v>
      </c>
      <c r="F11" s="525">
        <v>0</v>
      </c>
    </row>
    <row r="12" spans="1:6" ht="15.75" thickBot="1" x14ac:dyDescent="0.3">
      <c r="A12" s="606" t="s">
        <v>327</v>
      </c>
      <c r="B12" s="607"/>
      <c r="C12" s="221">
        <f>C10+C11</f>
        <v>1122328.6200000001</v>
      </c>
      <c r="D12" s="221">
        <f>D10+D11</f>
        <v>280463.51</v>
      </c>
      <c r="E12" s="221">
        <f>E10+E11</f>
        <v>3720162.5100000002</v>
      </c>
      <c r="F12" s="222">
        <f>F10+F11</f>
        <v>0</v>
      </c>
    </row>
    <row r="13" spans="1:6" ht="15.75" thickTop="1" x14ac:dyDescent="0.25">
      <c r="A13" s="526"/>
      <c r="B13" s="527"/>
      <c r="C13" s="528"/>
      <c r="D13" s="528"/>
      <c r="E13" s="528"/>
      <c r="F13" s="528"/>
    </row>
    <row r="14" spans="1:6" x14ac:dyDescent="0.25">
      <c r="A14" s="526"/>
      <c r="B14" s="527"/>
      <c r="C14" s="528"/>
      <c r="D14" s="528"/>
      <c r="E14" s="528"/>
      <c r="F14" s="528"/>
    </row>
    <row r="15" spans="1:6" ht="31.5" customHeight="1" x14ac:dyDescent="0.25">
      <c r="A15" s="608" t="s">
        <v>328</v>
      </c>
      <c r="B15" s="608"/>
      <c r="C15" s="608"/>
      <c r="D15" s="608"/>
      <c r="E15" s="608"/>
      <c r="F15" s="608"/>
    </row>
    <row r="16" spans="1:6" ht="16.5" thickBot="1" x14ac:dyDescent="0.3">
      <c r="A16" s="529"/>
      <c r="B16" s="529"/>
      <c r="C16" s="529"/>
      <c r="D16" s="529"/>
      <c r="E16" s="529"/>
      <c r="F16" s="529"/>
    </row>
    <row r="17" spans="1:6" ht="30.75" customHeight="1" thickTop="1" x14ac:dyDescent="0.25">
      <c r="A17" s="226" t="s">
        <v>56</v>
      </c>
      <c r="B17" s="227" t="s">
        <v>9</v>
      </c>
      <c r="C17" s="609" t="s">
        <v>329</v>
      </c>
      <c r="D17" s="610"/>
      <c r="E17" s="528"/>
      <c r="F17" s="528"/>
    </row>
    <row r="18" spans="1:6" x14ac:dyDescent="0.25">
      <c r="A18" s="530" t="s">
        <v>290</v>
      </c>
      <c r="B18" s="531" t="s">
        <v>223</v>
      </c>
      <c r="C18" s="532"/>
      <c r="D18" s="533">
        <f>-[1]ZOiS_2020!K223</f>
        <v>42725.02</v>
      </c>
      <c r="E18" s="534"/>
      <c r="F18" s="534"/>
    </row>
    <row r="19" spans="1:6" x14ac:dyDescent="0.25">
      <c r="A19" s="530" t="s">
        <v>294</v>
      </c>
      <c r="B19" s="531" t="s">
        <v>330</v>
      </c>
      <c r="C19" s="532"/>
      <c r="D19" s="533">
        <f>D20</f>
        <v>0</v>
      </c>
      <c r="E19" s="534"/>
      <c r="F19" s="534"/>
    </row>
    <row r="20" spans="1:6" x14ac:dyDescent="0.25">
      <c r="A20" s="535" t="s">
        <v>74</v>
      </c>
      <c r="B20" s="536" t="s">
        <v>331</v>
      </c>
      <c r="C20" s="532"/>
      <c r="D20" s="537">
        <v>0</v>
      </c>
      <c r="E20" s="528"/>
      <c r="F20" s="528"/>
    </row>
    <row r="21" spans="1:6" x14ac:dyDescent="0.25">
      <c r="A21" s="538" t="s">
        <v>68</v>
      </c>
      <c r="B21" s="539" t="s">
        <v>231</v>
      </c>
      <c r="C21" s="532"/>
      <c r="D21" s="540">
        <f>D22</f>
        <v>771</v>
      </c>
      <c r="E21" s="541"/>
      <c r="F21" s="542"/>
    </row>
    <row r="22" spans="1:6" x14ac:dyDescent="0.25">
      <c r="A22" s="535" t="s">
        <v>74</v>
      </c>
      <c r="B22" s="536" t="s">
        <v>332</v>
      </c>
      <c r="C22" s="532"/>
      <c r="D22" s="537">
        <f>[1]ZOiS_2020!M223</f>
        <v>771</v>
      </c>
      <c r="E22" s="528"/>
      <c r="F22" s="528"/>
    </row>
    <row r="23" spans="1:6" ht="15.75" thickBot="1" x14ac:dyDescent="0.3">
      <c r="A23" s="509" t="s">
        <v>70</v>
      </c>
      <c r="B23" s="510" t="s">
        <v>235</v>
      </c>
      <c r="C23" s="511"/>
      <c r="D23" s="512">
        <f>D18+D19-D21</f>
        <v>41954.02</v>
      </c>
      <c r="E23" s="534"/>
      <c r="F23" s="534"/>
    </row>
    <row r="24" spans="1:6" ht="15.75" thickTop="1" x14ac:dyDescent="0.25">
      <c r="A24" s="526"/>
      <c r="B24" s="527"/>
      <c r="C24" s="528"/>
      <c r="D24" s="528"/>
      <c r="E24" s="528"/>
      <c r="F24" s="528"/>
    </row>
    <row r="25" spans="1:6" x14ac:dyDescent="0.25">
      <c r="A25" s="526"/>
      <c r="B25" s="543"/>
      <c r="C25" s="544"/>
      <c r="D25" s="544"/>
      <c r="E25" s="544"/>
      <c r="F25" s="528"/>
    </row>
  </sheetData>
  <mergeCells count="9">
    <mergeCell ref="A12:B12"/>
    <mergeCell ref="A15:F15"/>
    <mergeCell ref="C17:D17"/>
    <mergeCell ref="A2:E2"/>
    <mergeCell ref="A4:A5"/>
    <mergeCell ref="B4:B5"/>
    <mergeCell ref="C4:F4"/>
    <mergeCell ref="A10:B10"/>
    <mergeCell ref="A11:B11"/>
  </mergeCells>
  <pageMargins left="0.7" right="0.7" top="0.75" bottom="0.75" header="0.3" footer="0.3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view="pageBreakPreview" zoomScale="85" zoomScaleNormal="100" zoomScaleSheetLayoutView="85" workbookViewId="0">
      <selection activeCell="A13" sqref="A13"/>
    </sheetView>
  </sheetViews>
  <sheetFormatPr defaultRowHeight="15" x14ac:dyDescent="0.25"/>
  <cols>
    <col min="1" max="1" width="4.28515625" style="238" customWidth="1"/>
    <col min="2" max="2" width="38.28515625" style="239" customWidth="1"/>
    <col min="3" max="3" width="14.42578125" style="240" customWidth="1"/>
    <col min="4" max="4" width="14.5703125" style="240" customWidth="1"/>
    <col min="5" max="5" width="15.42578125" style="240" customWidth="1"/>
    <col min="6" max="6" width="13.5703125" style="240" customWidth="1"/>
    <col min="7" max="7" width="14.28515625" style="240" customWidth="1"/>
    <col min="8" max="8" width="14" style="240" customWidth="1"/>
  </cols>
  <sheetData>
    <row r="1" spans="1:8" ht="15.75" x14ac:dyDescent="0.25">
      <c r="A1" s="627" t="s">
        <v>333</v>
      </c>
      <c r="B1" s="627"/>
      <c r="C1" s="545"/>
      <c r="D1" s="545"/>
      <c r="E1" s="545"/>
      <c r="F1" s="545"/>
      <c r="G1" s="545"/>
      <c r="H1" s="545"/>
    </row>
    <row r="2" spans="1:8" ht="15.75" x14ac:dyDescent="0.25">
      <c r="A2" s="624" t="s">
        <v>110</v>
      </c>
      <c r="B2" s="624"/>
      <c r="C2" s="545"/>
      <c r="D2" s="545"/>
      <c r="E2" s="545"/>
      <c r="F2" s="545"/>
      <c r="G2" s="545"/>
      <c r="H2" s="545"/>
    </row>
    <row r="3" spans="1:8" ht="16.5" thickBot="1" x14ac:dyDescent="0.3">
      <c r="A3" s="546"/>
      <c r="B3" s="546"/>
      <c r="C3" s="545"/>
      <c r="D3" s="545"/>
      <c r="E3" s="545"/>
      <c r="F3" s="545"/>
      <c r="G3" s="545"/>
      <c r="H3" s="545"/>
    </row>
    <row r="4" spans="1:8" ht="15.75" thickTop="1" x14ac:dyDescent="0.25">
      <c r="A4" s="628" t="s">
        <v>56</v>
      </c>
      <c r="B4" s="630" t="s">
        <v>9</v>
      </c>
      <c r="C4" s="632" t="s">
        <v>334</v>
      </c>
      <c r="D4" s="633"/>
      <c r="E4" s="634"/>
      <c r="F4" s="635" t="s">
        <v>335</v>
      </c>
      <c r="G4" s="635"/>
      <c r="H4" s="636"/>
    </row>
    <row r="5" spans="1:8" ht="21" x14ac:dyDescent="0.25">
      <c r="A5" s="629"/>
      <c r="B5" s="631"/>
      <c r="C5" s="229" t="s">
        <v>336</v>
      </c>
      <c r="D5" s="230" t="s">
        <v>337</v>
      </c>
      <c r="E5" s="231" t="s">
        <v>338</v>
      </c>
      <c r="F5" s="232" t="s">
        <v>336</v>
      </c>
      <c r="G5" s="230" t="s">
        <v>337</v>
      </c>
      <c r="H5" s="233" t="s">
        <v>338</v>
      </c>
    </row>
    <row r="6" spans="1:8" x14ac:dyDescent="0.25">
      <c r="A6" s="151" t="s">
        <v>64</v>
      </c>
      <c r="B6" s="547" t="s">
        <v>339</v>
      </c>
      <c r="C6" s="548">
        <f>+C7+C10</f>
        <v>0</v>
      </c>
      <c r="D6" s="549">
        <f>+D7+D10</f>
        <v>0</v>
      </c>
      <c r="E6" s="550">
        <f t="shared" ref="E6:E17" si="0">+C6-D6</f>
        <v>0</v>
      </c>
      <c r="F6" s="549">
        <f>+F7+F10</f>
        <v>0</v>
      </c>
      <c r="G6" s="549">
        <f>+G7+G10</f>
        <v>0</v>
      </c>
      <c r="H6" s="153">
        <f t="shared" ref="H6:H17" si="1">+F6-G6</f>
        <v>0</v>
      </c>
    </row>
    <row r="7" spans="1:8" x14ac:dyDescent="0.25">
      <c r="A7" s="155" t="s">
        <v>74</v>
      </c>
      <c r="B7" s="551" t="s">
        <v>340</v>
      </c>
      <c r="C7" s="552">
        <f>SUM(C8:C9)</f>
        <v>0</v>
      </c>
      <c r="D7" s="545">
        <f>SUM(D8:D9)</f>
        <v>0</v>
      </c>
      <c r="E7" s="553">
        <f t="shared" si="0"/>
        <v>0</v>
      </c>
      <c r="F7" s="545">
        <f>F8</f>
        <v>0</v>
      </c>
      <c r="G7" s="545">
        <f>SUM(G8:G9)</f>
        <v>0</v>
      </c>
      <c r="H7" s="157">
        <f t="shared" si="1"/>
        <v>0</v>
      </c>
    </row>
    <row r="8" spans="1:8" x14ac:dyDescent="0.25">
      <c r="A8" s="155"/>
      <c r="B8" s="554" t="s">
        <v>341</v>
      </c>
      <c r="C8" s="552"/>
      <c r="D8" s="545">
        <v>0</v>
      </c>
      <c r="E8" s="553">
        <f t="shared" si="0"/>
        <v>0</v>
      </c>
      <c r="F8" s="545"/>
      <c r="G8" s="545">
        <v>0</v>
      </c>
      <c r="H8" s="157">
        <f t="shared" si="1"/>
        <v>0</v>
      </c>
    </row>
    <row r="9" spans="1:8" x14ac:dyDescent="0.25">
      <c r="A9" s="155"/>
      <c r="B9" s="554" t="s">
        <v>342</v>
      </c>
      <c r="C9" s="552">
        <v>0</v>
      </c>
      <c r="D9" s="545">
        <v>0</v>
      </c>
      <c r="E9" s="553">
        <f t="shared" si="0"/>
        <v>0</v>
      </c>
      <c r="F9" s="545">
        <v>0</v>
      </c>
      <c r="G9" s="545">
        <v>0</v>
      </c>
      <c r="H9" s="157">
        <f t="shared" si="1"/>
        <v>0</v>
      </c>
    </row>
    <row r="10" spans="1:8" x14ac:dyDescent="0.25">
      <c r="A10" s="155" t="s">
        <v>76</v>
      </c>
      <c r="B10" s="551" t="s">
        <v>115</v>
      </c>
      <c r="C10" s="552">
        <v>0</v>
      </c>
      <c r="D10" s="545">
        <v>0</v>
      </c>
      <c r="E10" s="553">
        <f t="shared" si="0"/>
        <v>0</v>
      </c>
      <c r="F10" s="545">
        <v>0</v>
      </c>
      <c r="G10" s="545">
        <v>0</v>
      </c>
      <c r="H10" s="157">
        <f t="shared" si="1"/>
        <v>0</v>
      </c>
    </row>
    <row r="11" spans="1:8" x14ac:dyDescent="0.25">
      <c r="A11" s="151" t="s">
        <v>66</v>
      </c>
      <c r="B11" s="547" t="s">
        <v>343</v>
      </c>
      <c r="C11" s="548">
        <f>SUM(C12+C15+C16+C17)</f>
        <v>63314173.579999998</v>
      </c>
      <c r="D11" s="549">
        <f>SUM(D12+D15+D16+D17)</f>
        <v>8577206.1400000006</v>
      </c>
      <c r="E11" s="550">
        <f t="shared" si="0"/>
        <v>54736967.439999998</v>
      </c>
      <c r="F11" s="549">
        <f>SUM(F12+F15+F16+F17)</f>
        <v>82794867.109999999</v>
      </c>
      <c r="G11" s="549">
        <f>SUM(G12+G15+G16+G17)</f>
        <v>16167199.279999997</v>
      </c>
      <c r="H11" s="153">
        <f t="shared" si="1"/>
        <v>66627667.829999998</v>
      </c>
    </row>
    <row r="12" spans="1:8" x14ac:dyDescent="0.25">
      <c r="A12" s="155" t="s">
        <v>74</v>
      </c>
      <c r="B12" s="551" t="s">
        <v>340</v>
      </c>
      <c r="C12" s="552">
        <f>SUM(C13+C14)</f>
        <v>58778242.380000003</v>
      </c>
      <c r="D12" s="545">
        <f>SUM(D13+D14)</f>
        <v>7119587.9000000004</v>
      </c>
      <c r="E12" s="553">
        <f t="shared" si="0"/>
        <v>51658654.480000004</v>
      </c>
      <c r="F12" s="545">
        <f>F13</f>
        <v>61556230.990000002</v>
      </c>
      <c r="G12" s="545">
        <f>SUM(G13+G14)</f>
        <v>10426770.479999999</v>
      </c>
      <c r="H12" s="157">
        <f t="shared" si="1"/>
        <v>51129460.510000005</v>
      </c>
    </row>
    <row r="13" spans="1:8" x14ac:dyDescent="0.25">
      <c r="A13" s="151"/>
      <c r="B13" s="554" t="s">
        <v>341</v>
      </c>
      <c r="C13" s="552">
        <f>'[2]nota nr 9 (p)'!$C$13+'[5]nota nr 10'!$D$16</f>
        <v>58778242.380000003</v>
      </c>
      <c r="D13" s="545">
        <f>'[2]nota nr 9 (p)'!$D$13+'[5]nota nr 10'!$E$16</f>
        <v>7119587.9000000004</v>
      </c>
      <c r="E13" s="553">
        <f t="shared" si="0"/>
        <v>51658654.480000004</v>
      </c>
      <c r="F13" s="545">
        <f>'[2]nota nr 9 (p)'!$F$13+'[5]nota nr 10'!$G$16+355.13</f>
        <v>61556230.990000002</v>
      </c>
      <c r="G13" s="545">
        <f>'[2]nota nr 9 (p)'!$G$13+'[5]nota nr 10'!$H$16</f>
        <v>10426770.479999999</v>
      </c>
      <c r="H13" s="157">
        <f t="shared" si="1"/>
        <v>51129460.510000005</v>
      </c>
    </row>
    <row r="14" spans="1:8" x14ac:dyDescent="0.25">
      <c r="A14" s="151"/>
      <c r="B14" s="554" t="s">
        <v>342</v>
      </c>
      <c r="C14" s="552">
        <v>0</v>
      </c>
      <c r="D14" s="545">
        <v>0</v>
      </c>
      <c r="E14" s="553">
        <f t="shared" si="0"/>
        <v>0</v>
      </c>
      <c r="F14" s="545">
        <v>0</v>
      </c>
      <c r="G14" s="545">
        <v>0</v>
      </c>
      <c r="H14" s="157">
        <f t="shared" si="1"/>
        <v>0</v>
      </c>
    </row>
    <row r="15" spans="1:8" ht="39" x14ac:dyDescent="0.25">
      <c r="A15" s="155" t="s">
        <v>76</v>
      </c>
      <c r="B15" s="551" t="s">
        <v>344</v>
      </c>
      <c r="C15" s="552">
        <f>'[2]nota nr 9 (p)'!$C$15</f>
        <v>1026758</v>
      </c>
      <c r="D15" s="545">
        <v>0</v>
      </c>
      <c r="E15" s="553">
        <f t="shared" si="0"/>
        <v>1026758</v>
      </c>
      <c r="F15" s="545">
        <f>'[8]nota nr 9 (p)'!$F$15+'[5]nota nr 10'!$G$18</f>
        <v>13344811.029999999</v>
      </c>
      <c r="G15" s="545">
        <v>0</v>
      </c>
      <c r="H15" s="157">
        <f t="shared" si="1"/>
        <v>13344811.029999999</v>
      </c>
    </row>
    <row r="16" spans="1:8" x14ac:dyDescent="0.25">
      <c r="A16" s="155" t="s">
        <v>78</v>
      </c>
      <c r="B16" s="551" t="s">
        <v>115</v>
      </c>
      <c r="C16" s="552">
        <f>'[2]nota nr 9 (p)'!$C$16+'[5]nota nr 10'!$D$19</f>
        <v>3019192.7600000002</v>
      </c>
      <c r="D16" s="545">
        <f>'[2]nota nr 9 (p)'!$D$16+'[5]nota nr 10'!$E$19</f>
        <v>967637.8</v>
      </c>
      <c r="E16" s="553">
        <f t="shared" si="0"/>
        <v>2051554.9600000002</v>
      </c>
      <c r="F16" s="545">
        <f>'[2]nota nr 9 (p)'!$F$16+'[5]nota nr 10'!$G$19</f>
        <v>5737498.0499999998</v>
      </c>
      <c r="G16" s="545">
        <f>'[2]nota nr 9 (p)'!$G$16+'[5]nota nr 10'!$H$19</f>
        <v>3584101.7600000002</v>
      </c>
      <c r="H16" s="157">
        <f t="shared" si="1"/>
        <v>2153396.2899999996</v>
      </c>
    </row>
    <row r="17" spans="1:8" x14ac:dyDescent="0.25">
      <c r="A17" s="155" t="s">
        <v>80</v>
      </c>
      <c r="B17" s="551" t="s">
        <v>119</v>
      </c>
      <c r="C17" s="552">
        <f>'[2]nota nr 9 (p)'!$C$17</f>
        <v>489980.44</v>
      </c>
      <c r="D17" s="545">
        <f>'[8]nota nr 9 (p)'!$D$17</f>
        <v>489980.44</v>
      </c>
      <c r="E17" s="553">
        <f t="shared" si="0"/>
        <v>0</v>
      </c>
      <c r="F17" s="545">
        <f>'[2]nota nr 9 (p)'!$F$17</f>
        <v>2156327.04</v>
      </c>
      <c r="G17" s="545">
        <f>'[2]nota nr 9 (p)'!$G$17</f>
        <v>2156327.04</v>
      </c>
      <c r="H17" s="157">
        <f t="shared" si="1"/>
        <v>0</v>
      </c>
    </row>
    <row r="18" spans="1:8" ht="15.75" thickBot="1" x14ac:dyDescent="0.3">
      <c r="A18" s="622" t="s">
        <v>345</v>
      </c>
      <c r="B18" s="623"/>
      <c r="C18" s="235">
        <f t="shared" ref="C18:H18" si="2">SUM(C6+C11)</f>
        <v>63314173.579999998</v>
      </c>
      <c r="D18" s="236">
        <f t="shared" si="2"/>
        <v>8577206.1400000006</v>
      </c>
      <c r="E18" s="237">
        <f t="shared" si="2"/>
        <v>54736967.439999998</v>
      </c>
      <c r="F18" s="236">
        <f t="shared" si="2"/>
        <v>82794867.109999999</v>
      </c>
      <c r="G18" s="236">
        <f t="shared" si="2"/>
        <v>16167199.279999997</v>
      </c>
      <c r="H18" s="162">
        <f t="shared" si="2"/>
        <v>66627667.829999998</v>
      </c>
    </row>
    <row r="19" spans="1:8" ht="15.75" thickTop="1" x14ac:dyDescent="0.25">
      <c r="A19" s="555"/>
      <c r="B19" s="556"/>
      <c r="C19" s="557"/>
      <c r="D19" s="557"/>
      <c r="E19" s="557"/>
      <c r="F19" s="557"/>
      <c r="G19" s="557"/>
      <c r="H19" s="557"/>
    </row>
    <row r="20" spans="1:8" ht="16.5" thickBot="1" x14ac:dyDescent="0.3">
      <c r="A20" s="624" t="s">
        <v>346</v>
      </c>
      <c r="B20" s="624"/>
      <c r="C20" s="624"/>
      <c r="D20" s="624"/>
      <c r="E20" s="624"/>
      <c r="F20" s="557"/>
      <c r="G20" s="557"/>
      <c r="H20" s="557"/>
    </row>
    <row r="21" spans="1:8" ht="21.75" thickTop="1" x14ac:dyDescent="0.25">
      <c r="A21" s="241" t="s">
        <v>56</v>
      </c>
      <c r="B21" s="242" t="s">
        <v>347</v>
      </c>
      <c r="C21" s="242" t="s">
        <v>348</v>
      </c>
      <c r="D21" s="242" t="s">
        <v>349</v>
      </c>
      <c r="E21" s="243" t="s">
        <v>350</v>
      </c>
      <c r="F21" s="558"/>
      <c r="G21" s="558"/>
      <c r="H21" s="558"/>
    </row>
    <row r="22" spans="1:8" x14ac:dyDescent="0.25">
      <c r="A22" s="559" t="s">
        <v>64</v>
      </c>
      <c r="B22" s="560" t="s">
        <v>351</v>
      </c>
      <c r="C22" s="561">
        <f>SUM(C23:C24)</f>
        <v>48243218.700000003</v>
      </c>
      <c r="D22" s="561">
        <f>SUM(D23:D24)</f>
        <v>9840</v>
      </c>
      <c r="E22" s="562">
        <f t="shared" ref="E22:E36" si="3">C22-D22</f>
        <v>48233378.700000003</v>
      </c>
      <c r="F22" s="558"/>
      <c r="G22" s="558"/>
      <c r="H22" s="558"/>
    </row>
    <row r="23" spans="1:8" x14ac:dyDescent="0.25">
      <c r="A23" s="563" t="s">
        <v>74</v>
      </c>
      <c r="B23" s="564" t="s">
        <v>171</v>
      </c>
      <c r="C23" s="565"/>
      <c r="D23" s="566">
        <v>0</v>
      </c>
      <c r="E23" s="567">
        <f t="shared" si="3"/>
        <v>0</v>
      </c>
      <c r="F23" s="558"/>
      <c r="G23" s="558"/>
      <c r="H23" s="558"/>
    </row>
    <row r="24" spans="1:8" x14ac:dyDescent="0.25">
      <c r="A24" s="563" t="s">
        <v>76</v>
      </c>
      <c r="B24" s="564" t="s">
        <v>352</v>
      </c>
      <c r="C24" s="565">
        <f>'[2]nota nr 9 (p)'!$C$24</f>
        <v>48243218.700000003</v>
      </c>
      <c r="D24" s="566">
        <f>'[8]nota nr 9 (p)'!$D$24</f>
        <v>9840</v>
      </c>
      <c r="E24" s="567">
        <f t="shared" si="3"/>
        <v>48233378.700000003</v>
      </c>
      <c r="F24" s="558"/>
      <c r="G24" s="558"/>
      <c r="H24" s="558"/>
    </row>
    <row r="25" spans="1:8" x14ac:dyDescent="0.25">
      <c r="A25" s="151" t="s">
        <v>66</v>
      </c>
      <c r="B25" s="152" t="s">
        <v>353</v>
      </c>
      <c r="C25" s="568">
        <f>SUM(C26+C31)</f>
        <v>11025004.120000001</v>
      </c>
      <c r="D25" s="568">
        <f>SUM(D26+D31)</f>
        <v>7599728.3400000008</v>
      </c>
      <c r="E25" s="562">
        <f t="shared" si="3"/>
        <v>3425275.7800000003</v>
      </c>
      <c r="F25" s="557"/>
      <c r="G25" s="557"/>
      <c r="H25" s="557"/>
    </row>
    <row r="26" spans="1:8" x14ac:dyDescent="0.25">
      <c r="A26" s="155" t="s">
        <v>74</v>
      </c>
      <c r="B26" s="156" t="s">
        <v>171</v>
      </c>
      <c r="C26" s="569">
        <v>0</v>
      </c>
      <c r="D26" s="569">
        <f>SUM(D27:D30)</f>
        <v>0</v>
      </c>
      <c r="E26" s="567">
        <f t="shared" si="3"/>
        <v>0</v>
      </c>
      <c r="F26" s="557"/>
      <c r="G26" s="557"/>
      <c r="H26" s="557"/>
    </row>
    <row r="27" spans="1:8" x14ac:dyDescent="0.25">
      <c r="A27" s="570"/>
      <c r="B27" s="571" t="s">
        <v>354</v>
      </c>
      <c r="C27" s="572">
        <v>0</v>
      </c>
      <c r="D27" s="572">
        <v>0</v>
      </c>
      <c r="E27" s="573">
        <f t="shared" si="3"/>
        <v>0</v>
      </c>
      <c r="F27" s="574"/>
      <c r="G27" s="574"/>
      <c r="H27" s="574"/>
    </row>
    <row r="28" spans="1:8" x14ac:dyDescent="0.25">
      <c r="A28" s="570"/>
      <c r="B28" s="571" t="s">
        <v>355</v>
      </c>
      <c r="C28" s="572">
        <v>0</v>
      </c>
      <c r="D28" s="572">
        <v>0</v>
      </c>
      <c r="E28" s="573">
        <f t="shared" si="3"/>
        <v>0</v>
      </c>
      <c r="F28" s="574"/>
      <c r="G28" s="574"/>
      <c r="H28" s="574"/>
    </row>
    <row r="29" spans="1:8" x14ac:dyDescent="0.25">
      <c r="A29" s="570"/>
      <c r="B29" s="571" t="s">
        <v>356</v>
      </c>
      <c r="C29" s="572">
        <v>0</v>
      </c>
      <c r="D29" s="572">
        <v>0</v>
      </c>
      <c r="E29" s="573">
        <f t="shared" si="3"/>
        <v>0</v>
      </c>
      <c r="F29" s="574"/>
      <c r="G29" s="574"/>
      <c r="H29" s="574"/>
    </row>
    <row r="30" spans="1:8" x14ac:dyDescent="0.25">
      <c r="A30" s="570"/>
      <c r="B30" s="571" t="s">
        <v>324</v>
      </c>
      <c r="C30" s="572">
        <v>0</v>
      </c>
      <c r="D30" s="572">
        <v>0</v>
      </c>
      <c r="E30" s="573">
        <f t="shared" si="3"/>
        <v>0</v>
      </c>
      <c r="F30" s="574"/>
      <c r="G30" s="574"/>
      <c r="H30" s="574"/>
    </row>
    <row r="31" spans="1:8" x14ac:dyDescent="0.25">
      <c r="A31" s="155" t="s">
        <v>76</v>
      </c>
      <c r="B31" s="156" t="s">
        <v>352</v>
      </c>
      <c r="C31" s="569">
        <f>SUM(C32:C35)</f>
        <v>11025004.120000001</v>
      </c>
      <c r="D31" s="569">
        <f>SUM(D32:D35)</f>
        <v>7599728.3400000008</v>
      </c>
      <c r="E31" s="567">
        <f t="shared" si="3"/>
        <v>3425275.7800000003</v>
      </c>
      <c r="F31" s="557"/>
      <c r="G31" s="557"/>
      <c r="H31" s="557"/>
    </row>
    <row r="32" spans="1:8" x14ac:dyDescent="0.25">
      <c r="A32" s="570"/>
      <c r="B32" s="571" t="s">
        <v>354</v>
      </c>
      <c r="C32" s="572">
        <f>'[2]nota nr 9 (p)'!$C$32+'[5]nota nr 10'!$D$38</f>
        <v>2479241.7400000002</v>
      </c>
      <c r="D32" s="572">
        <f>'[2]nota nr 9 (p)'!$D$32</f>
        <v>19987.5</v>
      </c>
      <c r="E32" s="573">
        <f t="shared" si="3"/>
        <v>2459254.2400000002</v>
      </c>
      <c r="F32" s="574"/>
      <c r="G32" s="574"/>
      <c r="H32" s="574"/>
    </row>
    <row r="33" spans="1:8" x14ac:dyDescent="0.25">
      <c r="A33" s="570"/>
      <c r="B33" s="571" t="s">
        <v>355</v>
      </c>
      <c r="C33" s="572">
        <f>'[2]nota nr 9 (p)'!$C$33</f>
        <v>189974.54</v>
      </c>
      <c r="D33" s="572">
        <f>'[2]nota nr 9 (p)'!$D$33</f>
        <v>35661.68</v>
      </c>
      <c r="E33" s="573">
        <f t="shared" si="3"/>
        <v>154312.86000000002</v>
      </c>
      <c r="F33" s="574"/>
      <c r="G33" s="574"/>
      <c r="H33" s="574"/>
    </row>
    <row r="34" spans="1:8" x14ac:dyDescent="0.25">
      <c r="A34" s="570"/>
      <c r="B34" s="571" t="s">
        <v>356</v>
      </c>
      <c r="C34" s="572">
        <f>'[2]nota nr 9 (p)'!$C$34</f>
        <v>291487.53999999998</v>
      </c>
      <c r="D34" s="572">
        <f>'[2]nota nr 9 (p)'!$D$34</f>
        <v>105360.39</v>
      </c>
      <c r="E34" s="573">
        <f t="shared" si="3"/>
        <v>186127.14999999997</v>
      </c>
      <c r="F34" s="574"/>
      <c r="G34" s="574"/>
      <c r="H34" s="574"/>
    </row>
    <row r="35" spans="1:8" x14ac:dyDescent="0.25">
      <c r="A35" s="570"/>
      <c r="B35" s="571" t="s">
        <v>324</v>
      </c>
      <c r="C35" s="572">
        <f>'[2]nota nr 9 (p)'!$C$35+'[5]nota nr 10'!$D$42</f>
        <v>8064300.3000000007</v>
      </c>
      <c r="D35" s="572">
        <f>'[2]nota nr 9 (p)'!$D$35+'[5]nota nr 10'!$E$42</f>
        <v>7438718.7700000005</v>
      </c>
      <c r="E35" s="573">
        <f t="shared" si="3"/>
        <v>625581.53000000026</v>
      </c>
      <c r="F35" s="574"/>
      <c r="G35" s="574"/>
      <c r="H35" s="574"/>
    </row>
    <row r="36" spans="1:8" ht="15.75" thickBot="1" x14ac:dyDescent="0.3">
      <c r="A36" s="622" t="s">
        <v>345</v>
      </c>
      <c r="B36" s="625"/>
      <c r="C36" s="255">
        <f>C22+C25</f>
        <v>59268222.820000008</v>
      </c>
      <c r="D36" s="255">
        <f>D22+D25</f>
        <v>7609568.3400000008</v>
      </c>
      <c r="E36" s="256">
        <f t="shared" si="3"/>
        <v>51658654.480000004</v>
      </c>
      <c r="F36" s="575"/>
      <c r="G36" s="575"/>
      <c r="H36" s="575"/>
    </row>
    <row r="37" spans="1:8" ht="15.75" thickTop="1" x14ac:dyDescent="0.25">
      <c r="A37" s="576"/>
      <c r="B37" s="576"/>
      <c r="C37" s="568"/>
      <c r="D37" s="568"/>
      <c r="E37" s="561"/>
      <c r="F37" s="575"/>
      <c r="G37" s="575"/>
      <c r="H37" s="575"/>
    </row>
    <row r="38" spans="1:8" ht="16.5" thickBot="1" x14ac:dyDescent="0.3">
      <c r="A38" s="626" t="s">
        <v>357</v>
      </c>
      <c r="B38" s="626"/>
      <c r="C38" s="626"/>
      <c r="D38" s="626"/>
      <c r="E38" s="626"/>
      <c r="F38" s="626"/>
      <c r="G38" s="626"/>
      <c r="H38" s="557"/>
    </row>
    <row r="39" spans="1:8" ht="53.25" thickTop="1" x14ac:dyDescent="0.25">
      <c r="A39" s="148" t="s">
        <v>56</v>
      </c>
      <c r="B39" s="149" t="s">
        <v>9</v>
      </c>
      <c r="C39" s="242" t="s">
        <v>358</v>
      </c>
      <c r="D39" s="258" t="s">
        <v>359</v>
      </c>
      <c r="E39" s="242" t="s">
        <v>360</v>
      </c>
      <c r="F39" s="259" t="s">
        <v>359</v>
      </c>
      <c r="G39" s="260" t="s">
        <v>361</v>
      </c>
      <c r="H39" s="556"/>
    </row>
    <row r="40" spans="1:8" x14ac:dyDescent="0.25">
      <c r="A40" s="151" t="s">
        <v>64</v>
      </c>
      <c r="B40" s="152" t="s">
        <v>223</v>
      </c>
      <c r="C40" s="549">
        <f>'[8]nota nr 9 (p)'!$C$40+'[5]nota nr 10'!$D$49</f>
        <v>12583097.52</v>
      </c>
      <c r="D40" s="577">
        <v>0</v>
      </c>
      <c r="E40" s="549">
        <f>'[2]nota nr 9 (p)'!$E$40+'[5]nota nr 10'!$F$49</f>
        <v>3584101.7600000002</v>
      </c>
      <c r="F40" s="577">
        <v>0</v>
      </c>
      <c r="G40" s="153">
        <f t="shared" ref="G40:G47" si="4">C40+E40</f>
        <v>16167199.279999999</v>
      </c>
      <c r="H40" s="557"/>
    </row>
    <row r="41" spans="1:8" x14ac:dyDescent="0.25">
      <c r="A41" s="151" t="s">
        <v>66</v>
      </c>
      <c r="B41" s="152" t="s">
        <v>225</v>
      </c>
      <c r="C41" s="549">
        <f>SUM(C42:C42)</f>
        <v>560179.46</v>
      </c>
      <c r="D41" s="577">
        <f>SUM(D42:D42)</f>
        <v>0</v>
      </c>
      <c r="E41" s="549">
        <f>SUM(E42:E42)</f>
        <v>163181.17000000001</v>
      </c>
      <c r="F41" s="577">
        <f>SUM(F42:F42)</f>
        <v>0</v>
      </c>
      <c r="G41" s="153">
        <f t="shared" si="4"/>
        <v>723360.63</v>
      </c>
      <c r="H41" s="557"/>
    </row>
    <row r="42" spans="1:8" ht="26.25" x14ac:dyDescent="0.25">
      <c r="A42" s="155" t="s">
        <v>74</v>
      </c>
      <c r="B42" s="156" t="s">
        <v>362</v>
      </c>
      <c r="C42" s="545">
        <f>'[8]nota nr 9 (p)'!$C$42+'[5]nota nr 10'!$D$51</f>
        <v>560179.46</v>
      </c>
      <c r="D42" s="578">
        <v>0</v>
      </c>
      <c r="E42" s="545">
        <f>'[2]nota nr 9 (p)'!$E$42</f>
        <v>163181.17000000001</v>
      </c>
      <c r="F42" s="578">
        <v>0</v>
      </c>
      <c r="G42" s="157">
        <f t="shared" si="4"/>
        <v>723360.63</v>
      </c>
      <c r="H42" s="557"/>
    </row>
    <row r="43" spans="1:8" x14ac:dyDescent="0.25">
      <c r="A43" s="151" t="s">
        <v>68</v>
      </c>
      <c r="B43" s="152" t="s">
        <v>231</v>
      </c>
      <c r="C43" s="549">
        <f>SUM(C44:C47)</f>
        <v>5533708.6399999997</v>
      </c>
      <c r="D43" s="577">
        <f>SUM(D44:D47)</f>
        <v>0</v>
      </c>
      <c r="E43" s="549">
        <f>SUM(E44:E47)</f>
        <v>2779645.13</v>
      </c>
      <c r="F43" s="577">
        <f>SUM(F44:F47)</f>
        <v>0</v>
      </c>
      <c r="G43" s="153">
        <f t="shared" si="4"/>
        <v>8313353.7699999996</v>
      </c>
      <c r="H43" s="557"/>
    </row>
    <row r="44" spans="1:8" ht="39" x14ac:dyDescent="0.25">
      <c r="A44" s="155" t="s">
        <v>74</v>
      </c>
      <c r="B44" s="156" t="s">
        <v>364</v>
      </c>
      <c r="C44" s="545">
        <f>'[8]nota nr 9 (p)'!$C$47+'[5]nota nr 10'!$D$56</f>
        <v>1942182.82</v>
      </c>
      <c r="D44" s="578">
        <v>0</v>
      </c>
      <c r="E44" s="545">
        <f>'[2]nota nr 9 (p)'!$E$47</f>
        <v>60.37</v>
      </c>
      <c r="F44" s="578">
        <v>0</v>
      </c>
      <c r="G44" s="157">
        <f t="shared" si="4"/>
        <v>1942243.1900000002</v>
      </c>
      <c r="H44" s="557"/>
    </row>
    <row r="45" spans="1:8" ht="26.25" x14ac:dyDescent="0.25">
      <c r="A45" s="155" t="s">
        <v>76</v>
      </c>
      <c r="B45" s="156" t="s">
        <v>365</v>
      </c>
      <c r="C45" s="545">
        <v>0</v>
      </c>
      <c r="D45" s="578">
        <v>0</v>
      </c>
      <c r="E45" s="545">
        <v>0</v>
      </c>
      <c r="F45" s="578">
        <v>0</v>
      </c>
      <c r="G45" s="157">
        <f t="shared" si="4"/>
        <v>0</v>
      </c>
      <c r="H45" s="557"/>
    </row>
    <row r="46" spans="1:8" ht="26.25" x14ac:dyDescent="0.25">
      <c r="A46" s="155" t="s">
        <v>78</v>
      </c>
      <c r="B46" s="156" t="s">
        <v>366</v>
      </c>
      <c r="C46" s="545">
        <f>'[8]nota nr 9 (p)'!$C$49</f>
        <v>3591525.82</v>
      </c>
      <c r="D46" s="578">
        <v>0</v>
      </c>
      <c r="E46" s="545">
        <f>'[2]nota nr 9 (p)'!$E$49</f>
        <v>2779584.76</v>
      </c>
      <c r="F46" s="578"/>
      <c r="G46" s="157">
        <f t="shared" si="4"/>
        <v>6371110.5800000001</v>
      </c>
      <c r="H46" s="557"/>
    </row>
    <row r="47" spans="1:8" x14ac:dyDescent="0.25">
      <c r="A47" s="155" t="s">
        <v>80</v>
      </c>
      <c r="B47" s="156" t="s">
        <v>363</v>
      </c>
      <c r="C47" s="545">
        <v>0</v>
      </c>
      <c r="D47" s="578">
        <v>0</v>
      </c>
      <c r="E47" s="545"/>
      <c r="F47" s="578"/>
      <c r="G47" s="157">
        <f t="shared" si="4"/>
        <v>0</v>
      </c>
      <c r="H47" s="557"/>
    </row>
    <row r="48" spans="1:8" ht="15.75" thickBot="1" x14ac:dyDescent="0.3">
      <c r="A48" s="160" t="s">
        <v>70</v>
      </c>
      <c r="B48" s="161" t="s">
        <v>235</v>
      </c>
      <c r="C48" s="236">
        <f>C40+C41-C43</f>
        <v>7609568.3400000008</v>
      </c>
      <c r="D48" s="261">
        <f>D40+D41-D43</f>
        <v>0</v>
      </c>
      <c r="E48" s="236">
        <f>E40+E41-E43</f>
        <v>967637.80000000028</v>
      </c>
      <c r="F48" s="261">
        <f>F40+F41-F43</f>
        <v>0</v>
      </c>
      <c r="G48" s="162">
        <f>G40+G41-G43</f>
        <v>8577206.1400000006</v>
      </c>
      <c r="H48" s="557"/>
    </row>
    <row r="49" ht="15.75" thickTop="1" x14ac:dyDescent="0.25"/>
  </sheetData>
  <mergeCells count="10">
    <mergeCell ref="A18:B18"/>
    <mergeCell ref="A20:E20"/>
    <mergeCell ref="A36:B36"/>
    <mergeCell ref="A38:G38"/>
    <mergeCell ref="A1:B1"/>
    <mergeCell ref="A2:B2"/>
    <mergeCell ref="A4:A5"/>
    <mergeCell ref="B4:B5"/>
    <mergeCell ref="C4:E4"/>
    <mergeCell ref="F4:H4"/>
  </mergeCells>
  <pageMargins left="0.7" right="0.7" top="0.75" bottom="0.75" header="0.3" footer="0.3"/>
  <pageSetup paperSize="9"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6.140625" style="281" customWidth="1"/>
    <col min="2" max="2" width="45.7109375" style="282" customWidth="1"/>
    <col min="3" max="3" width="16.42578125" style="218" customWidth="1"/>
    <col min="4" max="4" width="17" style="218" customWidth="1"/>
  </cols>
  <sheetData>
    <row r="1" spans="1:4" ht="15.75" x14ac:dyDescent="0.25">
      <c r="A1" s="637" t="s">
        <v>367</v>
      </c>
      <c r="B1" s="637"/>
      <c r="C1" s="262"/>
      <c r="D1" s="262"/>
    </row>
    <row r="2" spans="1:4" ht="15.75" x14ac:dyDescent="0.25">
      <c r="A2" s="638" t="s">
        <v>368</v>
      </c>
      <c r="B2" s="638"/>
      <c r="C2" s="638"/>
      <c r="D2" s="262"/>
    </row>
    <row r="3" spans="1:4" ht="16.5" thickBot="1" x14ac:dyDescent="0.3">
      <c r="A3" s="263"/>
      <c r="B3" s="263"/>
      <c r="C3" s="262"/>
      <c r="D3" s="262"/>
    </row>
    <row r="4" spans="1:4" ht="23.25" thickTop="1" x14ac:dyDescent="0.25">
      <c r="A4" s="264" t="s">
        <v>56</v>
      </c>
      <c r="B4" s="265" t="s">
        <v>9</v>
      </c>
      <c r="C4" s="266" t="s">
        <v>334</v>
      </c>
      <c r="D4" s="267" t="s">
        <v>335</v>
      </c>
    </row>
    <row r="5" spans="1:4" x14ac:dyDescent="0.25">
      <c r="A5" s="268" t="s">
        <v>64</v>
      </c>
      <c r="B5" s="269" t="s">
        <v>369</v>
      </c>
      <c r="C5" s="262">
        <f>[1]ZOiS_2020!O388+[1]ZOiS_2020!O386+[1]ZOiS_2020!O391+[1]ZOiS_2020!O395+[1]ZOiS_2020!O153</f>
        <v>9534384.7699999996</v>
      </c>
      <c r="D5" s="270">
        <v>8940152.6400000006</v>
      </c>
    </row>
    <row r="6" spans="1:4" x14ac:dyDescent="0.25">
      <c r="A6" s="268" t="s">
        <v>303</v>
      </c>
      <c r="B6" s="269" t="s">
        <v>370</v>
      </c>
      <c r="C6" s="262">
        <f>'[5]nota nr 11-13'!$C$19</f>
        <v>16117.349999999999</v>
      </c>
      <c r="D6" s="270">
        <f>103.06+'[5]nota nr 11-13'!$D$19</f>
        <v>40315.539999999994</v>
      </c>
    </row>
    <row r="7" spans="1:4" ht="15.75" thickBot="1" x14ac:dyDescent="0.3">
      <c r="A7" s="639" t="s">
        <v>345</v>
      </c>
      <c r="B7" s="640"/>
      <c r="C7" s="271">
        <f>SUM(C5:C6)</f>
        <v>9550502.1199999992</v>
      </c>
      <c r="D7" s="272">
        <f>SUM(D5:D6)</f>
        <v>8980468.1799999997</v>
      </c>
    </row>
    <row r="8" spans="1:4" ht="15.75" thickTop="1" x14ac:dyDescent="0.25">
      <c r="A8" s="273"/>
      <c r="B8" s="274"/>
      <c r="C8" s="275"/>
      <c r="D8" s="275"/>
    </row>
    <row r="9" spans="1:4" ht="15.75" x14ac:dyDescent="0.25">
      <c r="A9" s="641" t="s">
        <v>26</v>
      </c>
      <c r="B9" s="641"/>
      <c r="C9" s="262"/>
      <c r="D9" s="262"/>
    </row>
    <row r="10" spans="1:4" ht="16.5" thickBot="1" x14ac:dyDescent="0.3">
      <c r="A10" s="263"/>
      <c r="B10" s="263"/>
      <c r="C10" s="262"/>
      <c r="D10" s="262"/>
    </row>
    <row r="11" spans="1:4" ht="23.25" thickTop="1" x14ac:dyDescent="0.25">
      <c r="A11" s="264" t="s">
        <v>56</v>
      </c>
      <c r="B11" s="265" t="s">
        <v>9</v>
      </c>
      <c r="C11" s="266" t="s">
        <v>334</v>
      </c>
      <c r="D11" s="267" t="s">
        <v>335</v>
      </c>
    </row>
    <row r="12" spans="1:4" x14ac:dyDescent="0.25">
      <c r="A12" s="276" t="s">
        <v>64</v>
      </c>
      <c r="B12" s="277" t="s">
        <v>371</v>
      </c>
      <c r="C12" s="278">
        <f>SUM(C13:C16)</f>
        <v>3099131.79</v>
      </c>
      <c r="D12" s="279">
        <f>SUM(D13:D16)</f>
        <v>2112739.0100000002</v>
      </c>
    </row>
    <row r="13" spans="1:4" x14ac:dyDescent="0.25">
      <c r="A13" s="268" t="s">
        <v>170</v>
      </c>
      <c r="B13" s="269" t="s">
        <v>372</v>
      </c>
      <c r="C13" s="262">
        <f>[1]ZOiS_2020!O379+[1]ZOiS_2020!O381+[1]ZOiS_2020!O382+'[5]nota nr 11-13'!$C$27</f>
        <v>189525.25</v>
      </c>
      <c r="D13" s="270">
        <f>[1]ZOiS_2019!O391+[1]ZOiS_2019!O393+[1]ZOiS_2019!O394+'[5]nota nr 11-13'!$D$27</f>
        <v>190511.77000000002</v>
      </c>
    </row>
    <row r="14" spans="1:4" x14ac:dyDescent="0.25">
      <c r="A14" s="268" t="s">
        <v>170</v>
      </c>
      <c r="B14" s="269" t="s">
        <v>373</v>
      </c>
      <c r="C14" s="280">
        <f>1047697.54+21839.69+2016</f>
        <v>1071553.23</v>
      </c>
      <c r="D14" s="270">
        <v>880169.1</v>
      </c>
    </row>
    <row r="15" spans="1:4" x14ac:dyDescent="0.25">
      <c r="A15" s="268" t="s">
        <v>170</v>
      </c>
      <c r="B15" s="269" t="s">
        <v>374</v>
      </c>
      <c r="C15" s="280">
        <v>515798.63</v>
      </c>
      <c r="D15" s="270">
        <v>0</v>
      </c>
    </row>
    <row r="16" spans="1:4" x14ac:dyDescent="0.25">
      <c r="A16" s="268" t="s">
        <v>170</v>
      </c>
      <c r="B16" s="269" t="s">
        <v>375</v>
      </c>
      <c r="C16" s="262">
        <f>1300747.68+21507</f>
        <v>1322254.68</v>
      </c>
      <c r="D16" s="270">
        <v>1042058.14</v>
      </c>
    </row>
    <row r="17" spans="1:4" x14ac:dyDescent="0.25">
      <c r="A17" s="276" t="s">
        <v>66</v>
      </c>
      <c r="B17" s="277" t="s">
        <v>370</v>
      </c>
      <c r="C17" s="278">
        <f>SUM(C18:C19)</f>
        <v>4651873.53</v>
      </c>
      <c r="D17" s="279">
        <f>SUM(D18:D19)</f>
        <v>1878384.4899999998</v>
      </c>
    </row>
    <row r="18" spans="1:4" x14ac:dyDescent="0.25">
      <c r="A18" s="268" t="s">
        <v>170</v>
      </c>
      <c r="B18" s="269" t="s">
        <v>376</v>
      </c>
      <c r="C18" s="262">
        <v>0</v>
      </c>
      <c r="D18" s="270">
        <v>0</v>
      </c>
    </row>
    <row r="19" spans="1:4" x14ac:dyDescent="0.25">
      <c r="A19" s="268" t="s">
        <v>170</v>
      </c>
      <c r="B19" s="269" t="s">
        <v>370</v>
      </c>
      <c r="C19" s="262">
        <f>4588415.58+'[5]nota nr 11-13'!$C$28+'[5]nota nr 11-13'!$C$30+'[5]nota nr 11-13'!$C$31+'[5]nota nr 11-13'!$C$32</f>
        <v>4651873.53</v>
      </c>
      <c r="D19" s="270">
        <f>1818328.07+8556.4+'[5]nota nr 11-13'!$D$32+'[5]nota nr 11-13'!$D$31+'[5]nota nr 11-13'!$D$30+'[5]nota nr 11-13'!$D$28</f>
        <v>1878384.4899999998</v>
      </c>
    </row>
    <row r="20" spans="1:4" ht="15.75" thickBot="1" x14ac:dyDescent="0.3">
      <c r="A20" s="639" t="s">
        <v>345</v>
      </c>
      <c r="B20" s="640"/>
      <c r="C20" s="271">
        <f>C12+C17</f>
        <v>7751005.3200000003</v>
      </c>
      <c r="D20" s="272">
        <f>D12+D17</f>
        <v>3991123.5</v>
      </c>
    </row>
    <row r="21" spans="1:4" ht="15.75" thickTop="1" x14ac:dyDescent="0.25">
      <c r="A21" s="273"/>
      <c r="B21" s="274"/>
      <c r="C21" s="275"/>
      <c r="D21" s="275"/>
    </row>
  </sheetData>
  <mergeCells count="5">
    <mergeCell ref="A1:B1"/>
    <mergeCell ref="A2:C2"/>
    <mergeCell ref="A7:B7"/>
    <mergeCell ref="A9:B9"/>
    <mergeCell ref="A20:B20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view="pageBreakPreview" zoomScale="85" zoomScaleNormal="100" zoomScaleSheetLayoutView="85" workbookViewId="0">
      <selection activeCell="A13" sqref="A13"/>
    </sheetView>
  </sheetViews>
  <sheetFormatPr defaultRowHeight="15" x14ac:dyDescent="0.25"/>
  <cols>
    <col min="1" max="1" width="33.140625" style="142" customWidth="1"/>
    <col min="2" max="2" width="17.140625" style="142" customWidth="1"/>
    <col min="3" max="3" width="13.5703125" style="142" customWidth="1"/>
    <col min="4" max="4" width="29.140625" style="142" customWidth="1"/>
  </cols>
  <sheetData>
    <row r="1" spans="1:4" ht="15.75" x14ac:dyDescent="0.25">
      <c r="A1" s="579" t="s">
        <v>377</v>
      </c>
      <c r="B1" s="579"/>
    </row>
    <row r="2" spans="1:4" ht="15.75" x14ac:dyDescent="0.25">
      <c r="A2" s="644" t="s">
        <v>378</v>
      </c>
      <c r="B2" s="644"/>
      <c r="C2" s="644"/>
      <c r="D2" s="644"/>
    </row>
    <row r="3" spans="1:4" ht="15.75" thickBot="1" x14ac:dyDescent="0.3">
      <c r="A3" s="283"/>
      <c r="B3" s="283"/>
      <c r="C3" s="283"/>
      <c r="D3" s="283"/>
    </row>
    <row r="4" spans="1:4" ht="26.25" thickTop="1" x14ac:dyDescent="0.25">
      <c r="A4" s="284" t="s">
        <v>379</v>
      </c>
      <c r="B4" s="285"/>
      <c r="C4" s="285"/>
      <c r="D4" s="286" t="s">
        <v>380</v>
      </c>
    </row>
    <row r="5" spans="1:4" ht="24" x14ac:dyDescent="0.25">
      <c r="A5" s="287" t="s">
        <v>381</v>
      </c>
      <c r="B5" s="288" t="s">
        <v>382</v>
      </c>
      <c r="C5" s="288" t="s">
        <v>383</v>
      </c>
      <c r="D5" s="289" t="s">
        <v>384</v>
      </c>
    </row>
    <row r="6" spans="1:4" x14ac:dyDescent="0.25">
      <c r="A6" s="290" t="s">
        <v>62</v>
      </c>
      <c r="B6" s="291" t="s">
        <v>385</v>
      </c>
      <c r="C6" s="292">
        <v>35200</v>
      </c>
      <c r="D6" s="293">
        <v>2428800</v>
      </c>
    </row>
    <row r="7" spans="1:4" x14ac:dyDescent="0.25">
      <c r="A7" s="290" t="s">
        <v>105</v>
      </c>
      <c r="B7" s="291" t="s">
        <v>386</v>
      </c>
      <c r="C7" s="292">
        <v>20320</v>
      </c>
      <c r="D7" s="293">
        <v>1402080</v>
      </c>
    </row>
    <row r="8" spans="1:4" x14ac:dyDescent="0.25">
      <c r="A8" s="290" t="s">
        <v>128</v>
      </c>
      <c r="B8" s="291" t="s">
        <v>386</v>
      </c>
      <c r="C8" s="292">
        <v>30000</v>
      </c>
      <c r="D8" s="293">
        <v>2070000</v>
      </c>
    </row>
    <row r="9" spans="1:4" x14ac:dyDescent="0.25">
      <c r="A9" s="290" t="s">
        <v>129</v>
      </c>
      <c r="B9" s="291" t="s">
        <v>386</v>
      </c>
      <c r="C9" s="292">
        <v>169000</v>
      </c>
      <c r="D9" s="293">
        <v>11661000</v>
      </c>
    </row>
    <row r="10" spans="1:4" x14ac:dyDescent="0.25">
      <c r="A10" s="290" t="s">
        <v>180</v>
      </c>
      <c r="B10" s="291" t="s">
        <v>386</v>
      </c>
      <c r="C10" s="292">
        <v>7691</v>
      </c>
      <c r="D10" s="293">
        <v>530679</v>
      </c>
    </row>
    <row r="11" spans="1:4" x14ac:dyDescent="0.25">
      <c r="A11" s="290" t="s">
        <v>182</v>
      </c>
      <c r="B11" s="291" t="s">
        <v>386</v>
      </c>
      <c r="C11" s="292">
        <v>10000</v>
      </c>
      <c r="D11" s="293">
        <v>690000</v>
      </c>
    </row>
    <row r="12" spans="1:4" x14ac:dyDescent="0.25">
      <c r="A12" s="290" t="s">
        <v>184</v>
      </c>
      <c r="B12" s="291" t="s">
        <v>386</v>
      </c>
      <c r="C12" s="292">
        <v>1350000</v>
      </c>
      <c r="D12" s="293">
        <v>93150000</v>
      </c>
    </row>
    <row r="13" spans="1:4" x14ac:dyDescent="0.25">
      <c r="A13" s="290" t="s">
        <v>190</v>
      </c>
      <c r="B13" s="291" t="s">
        <v>386</v>
      </c>
      <c r="C13" s="292">
        <v>1000000</v>
      </c>
      <c r="D13" s="293">
        <v>69000000</v>
      </c>
    </row>
    <row r="14" spans="1:4" x14ac:dyDescent="0.25">
      <c r="A14" s="290" t="s">
        <v>63</v>
      </c>
      <c r="B14" s="291" t="s">
        <v>386</v>
      </c>
      <c r="C14" s="292">
        <v>3111975</v>
      </c>
      <c r="D14" s="293">
        <v>214726275</v>
      </c>
    </row>
    <row r="15" spans="1:4" x14ac:dyDescent="0.25">
      <c r="A15" s="290" t="s">
        <v>195</v>
      </c>
      <c r="B15" s="291" t="s">
        <v>386</v>
      </c>
      <c r="C15" s="292">
        <v>2326977</v>
      </c>
      <c r="D15" s="293">
        <v>160561413</v>
      </c>
    </row>
    <row r="16" spans="1:4" x14ac:dyDescent="0.25">
      <c r="A16" s="290" t="s">
        <v>203</v>
      </c>
      <c r="B16" s="291" t="s">
        <v>386</v>
      </c>
      <c r="C16" s="292">
        <v>268115</v>
      </c>
      <c r="D16" s="293">
        <v>18499935</v>
      </c>
    </row>
    <row r="17" spans="1:4" x14ac:dyDescent="0.25">
      <c r="A17" s="290" t="s">
        <v>208</v>
      </c>
      <c r="B17" s="291" t="s">
        <v>386</v>
      </c>
      <c r="C17" s="292">
        <v>103</v>
      </c>
      <c r="D17" s="293">
        <v>7107</v>
      </c>
    </row>
    <row r="18" spans="1:4" x14ac:dyDescent="0.25">
      <c r="A18" s="290" t="s">
        <v>208</v>
      </c>
      <c r="B18" s="291" t="s">
        <v>385</v>
      </c>
      <c r="C18" s="292">
        <v>30674</v>
      </c>
      <c r="D18" s="293">
        <v>2116506</v>
      </c>
    </row>
    <row r="19" spans="1:4" x14ac:dyDescent="0.25">
      <c r="A19" s="290" t="s">
        <v>210</v>
      </c>
      <c r="B19" s="291" t="s">
        <v>386</v>
      </c>
      <c r="C19" s="292">
        <v>156</v>
      </c>
      <c r="D19" s="293">
        <v>10764</v>
      </c>
    </row>
    <row r="20" spans="1:4" ht="15.75" thickBot="1" x14ac:dyDescent="0.3">
      <c r="A20" s="294" t="s">
        <v>387</v>
      </c>
      <c r="B20" s="295"/>
      <c r="C20" s="296">
        <f>SUM(C6:C19)</f>
        <v>8360211</v>
      </c>
      <c r="D20" s="297"/>
    </row>
    <row r="21" spans="1:4" ht="16.5" thickTop="1" thickBot="1" x14ac:dyDescent="0.3">
      <c r="A21" s="298" t="s">
        <v>388</v>
      </c>
      <c r="B21" s="299"/>
      <c r="C21" s="489"/>
      <c r="D21" s="300">
        <f>SUM(D6:D20)</f>
        <v>576854559</v>
      </c>
    </row>
    <row r="22" spans="1:4" ht="15.75" thickTop="1" x14ac:dyDescent="0.25">
      <c r="A22" s="301"/>
      <c r="B22" s="301"/>
      <c r="C22" s="302"/>
      <c r="D22" s="301"/>
    </row>
    <row r="23" spans="1:4" ht="15.75" x14ac:dyDescent="0.25">
      <c r="A23" s="167" t="s">
        <v>389</v>
      </c>
      <c r="B23" s="303"/>
      <c r="C23" s="303"/>
    </row>
    <row r="24" spans="1:4" ht="15.75" thickBot="1" x14ac:dyDescent="0.3">
      <c r="A24" s="303"/>
      <c r="B24" s="303"/>
      <c r="C24" s="303"/>
    </row>
    <row r="25" spans="1:4" ht="32.25" thickTop="1" x14ac:dyDescent="0.25">
      <c r="A25" s="304" t="s">
        <v>390</v>
      </c>
      <c r="B25" s="305" t="s">
        <v>391</v>
      </c>
      <c r="C25" s="305" t="s">
        <v>392</v>
      </c>
      <c r="D25" s="306" t="s">
        <v>393</v>
      </c>
    </row>
    <row r="26" spans="1:4" x14ac:dyDescent="0.25">
      <c r="A26" s="307" t="s">
        <v>394</v>
      </c>
      <c r="B26" s="308">
        <f>D21</f>
        <v>576854559</v>
      </c>
      <c r="C26" s="309">
        <v>1</v>
      </c>
      <c r="D26" s="310">
        <v>1</v>
      </c>
    </row>
    <row r="27" spans="1:4" ht="15.75" thickBot="1" x14ac:dyDescent="0.3">
      <c r="A27" s="311" t="s">
        <v>255</v>
      </c>
      <c r="B27" s="312">
        <f>SUM(B26:B26)</f>
        <v>576854559</v>
      </c>
      <c r="C27" s="313">
        <f>SUM(C26:C26)</f>
        <v>1</v>
      </c>
      <c r="D27" s="314">
        <f>SUM(D26:D26)</f>
        <v>1</v>
      </c>
    </row>
    <row r="28" spans="1:4" ht="15.75" thickTop="1" x14ac:dyDescent="0.25">
      <c r="A28" s="303"/>
      <c r="B28" s="303"/>
      <c r="C28" s="303"/>
    </row>
    <row r="29" spans="1:4" ht="15.75" x14ac:dyDescent="0.25">
      <c r="A29" s="579" t="s">
        <v>395</v>
      </c>
      <c r="B29" s="579"/>
      <c r="C29" s="315"/>
      <c r="D29" s="315"/>
    </row>
    <row r="30" spans="1:4" ht="15.75" x14ac:dyDescent="0.25">
      <c r="A30" s="167" t="s">
        <v>396</v>
      </c>
      <c r="B30" s="303"/>
      <c r="C30" s="303"/>
    </row>
    <row r="31" spans="1:4" ht="15.75" thickBot="1" x14ac:dyDescent="0.3"/>
    <row r="32" spans="1:4" ht="15.75" thickTop="1" x14ac:dyDescent="0.25">
      <c r="A32" s="645" t="s">
        <v>9</v>
      </c>
      <c r="B32" s="646"/>
      <c r="C32" s="316" t="s">
        <v>397</v>
      </c>
      <c r="D32" s="317"/>
    </row>
    <row r="33" spans="1:3" x14ac:dyDescent="0.25">
      <c r="A33" s="647" t="s">
        <v>398</v>
      </c>
      <c r="B33" s="648"/>
      <c r="C33" s="318">
        <f>'[1]RZiS-kalkulacyjny'!D44</f>
        <v>-442615.82881460933</v>
      </c>
    </row>
    <row r="34" spans="1:3" ht="15" customHeight="1" x14ac:dyDescent="0.25">
      <c r="A34" s="319" t="s">
        <v>399</v>
      </c>
      <c r="B34" s="320"/>
      <c r="C34" s="321"/>
    </row>
    <row r="35" spans="1:3" ht="30.75" customHeight="1" x14ac:dyDescent="0.25">
      <c r="A35" s="649" t="s">
        <v>400</v>
      </c>
      <c r="B35" s="650"/>
      <c r="C35" s="318"/>
    </row>
    <row r="36" spans="1:3" ht="15.75" thickBot="1" x14ac:dyDescent="0.3">
      <c r="A36" s="642" t="s">
        <v>401</v>
      </c>
      <c r="B36" s="643"/>
      <c r="C36" s="322">
        <f>C33+-SUM(C35:C35)</f>
        <v>-442615.82881460933</v>
      </c>
    </row>
    <row r="37" spans="1:3" ht="15.75" thickTop="1" x14ac:dyDescent="0.25"/>
  </sheetData>
  <mergeCells count="7">
    <mergeCell ref="A36:B36"/>
    <mergeCell ref="A1:B1"/>
    <mergeCell ref="A2:D2"/>
    <mergeCell ref="A29:B29"/>
    <mergeCell ref="A32:B32"/>
    <mergeCell ref="A33:B33"/>
    <mergeCell ref="A35:B35"/>
  </mergeCells>
  <pageMargins left="0.7" right="0.7" top="0.75" bottom="0.75" header="0.3" footer="0.3"/>
  <pageSetup paperSize="9" scale="9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view="pageBreakPreview" zoomScale="85" zoomScaleNormal="100" zoomScaleSheetLayoutView="85" workbookViewId="0">
      <selection activeCell="A13" sqref="A13"/>
    </sheetView>
  </sheetViews>
  <sheetFormatPr defaultRowHeight="15" x14ac:dyDescent="0.25"/>
  <cols>
    <col min="1" max="1" width="36.28515625" style="327" customWidth="1"/>
    <col min="2" max="2" width="20.140625" style="327" customWidth="1"/>
    <col min="3" max="3" width="15.7109375" style="325" customWidth="1"/>
    <col min="4" max="4" width="19" style="325" bestFit="1" customWidth="1"/>
    <col min="5" max="5" width="20" style="325" bestFit="1" customWidth="1"/>
    <col min="6" max="6" width="16.140625" style="325" customWidth="1"/>
  </cols>
  <sheetData>
    <row r="1" spans="1:6" ht="15.75" x14ac:dyDescent="0.25">
      <c r="A1" s="323" t="s">
        <v>402</v>
      </c>
      <c r="B1" s="323"/>
      <c r="C1" s="324"/>
    </row>
    <row r="2" spans="1:6" ht="15.75" x14ac:dyDescent="0.25">
      <c r="A2" s="326" t="s">
        <v>403</v>
      </c>
      <c r="B2" s="326"/>
      <c r="C2" s="326"/>
      <c r="D2" s="326"/>
      <c r="E2" s="326"/>
      <c r="F2" s="326"/>
    </row>
    <row r="3" spans="1:6" ht="15.75" thickBot="1" x14ac:dyDescent="0.3"/>
    <row r="4" spans="1:6" ht="39.75" thickTop="1" x14ac:dyDescent="0.25">
      <c r="A4" s="328"/>
      <c r="B4" s="328" t="s">
        <v>404</v>
      </c>
      <c r="C4" s="328" t="s">
        <v>405</v>
      </c>
      <c r="D4" s="328" t="s">
        <v>406</v>
      </c>
      <c r="E4" s="328" t="s">
        <v>407</v>
      </c>
      <c r="F4" s="329" t="s">
        <v>345</v>
      </c>
    </row>
    <row r="5" spans="1:6" x14ac:dyDescent="0.25">
      <c r="A5" s="330" t="s">
        <v>408</v>
      </c>
      <c r="B5" s="330">
        <f>-[1]ZOiS_2019!O520+'[5]nota 16'!$B$6</f>
        <v>94100</v>
      </c>
      <c r="C5" s="331">
        <f>-([1]ZOiS_2019!O406+[1]ZOiS_2019!O410)+'[5]nota 16'!$C$6</f>
        <v>5863177.6600000001</v>
      </c>
      <c r="D5" s="331">
        <f>-[1]ZOiS_2019!O411+'[5]nota 16'!$D$6</f>
        <v>2613319.16</v>
      </c>
      <c r="E5" s="331">
        <f>-[1]ZOiS_2019!O418</f>
        <v>268343.42</v>
      </c>
      <c r="F5" s="332">
        <f>B5+C5+D5+E5</f>
        <v>8838940.2400000002</v>
      </c>
    </row>
    <row r="6" spans="1:6" x14ac:dyDescent="0.25">
      <c r="A6" s="330" t="s">
        <v>409</v>
      </c>
      <c r="B6" s="330">
        <f>-[1]ZOiS_2019!O521+'[5]nota 16'!$B$7</f>
        <v>656370.89999999991</v>
      </c>
      <c r="C6" s="331">
        <v>0</v>
      </c>
      <c r="D6" s="331">
        <v>0</v>
      </c>
      <c r="E6" s="331">
        <v>0</v>
      </c>
      <c r="F6" s="332">
        <f>B6+C6+D6+E6</f>
        <v>656370.89999999991</v>
      </c>
    </row>
    <row r="7" spans="1:6" x14ac:dyDescent="0.25">
      <c r="A7" s="330" t="s">
        <v>410</v>
      </c>
      <c r="B7" s="331">
        <f>B5+B6</f>
        <v>750470.89999999991</v>
      </c>
      <c r="C7" s="331">
        <f>C5+C6</f>
        <v>5863177.6600000001</v>
      </c>
      <c r="D7" s="331">
        <f>D5+D6</f>
        <v>2613319.16</v>
      </c>
      <c r="E7" s="331">
        <f>E5+E6</f>
        <v>268343.42</v>
      </c>
      <c r="F7" s="332">
        <f>B7+C7+D7+E7</f>
        <v>9495311.1400000006</v>
      </c>
    </row>
    <row r="8" spans="1:6" x14ac:dyDescent="0.25">
      <c r="A8" s="333" t="s">
        <v>411</v>
      </c>
      <c r="B8" s="333">
        <f>25931.87+'[5]nota 16'!$B$10</f>
        <v>44847.399999999994</v>
      </c>
      <c r="C8" s="334">
        <v>0</v>
      </c>
      <c r="D8" s="334">
        <v>0</v>
      </c>
      <c r="E8" s="334">
        <v>0</v>
      </c>
      <c r="F8" s="335">
        <f>B8+C8+D8+E8</f>
        <v>44847.399999999994</v>
      </c>
    </row>
    <row r="9" spans="1:6" x14ac:dyDescent="0.25">
      <c r="A9" s="333" t="s">
        <v>412</v>
      </c>
      <c r="B9" s="333">
        <f>46194.58+'[5]nota 16'!$B$11</f>
        <v>35789.360000000001</v>
      </c>
      <c r="C9" s="334">
        <v>0</v>
      </c>
      <c r="D9" s="334">
        <v>0</v>
      </c>
      <c r="E9" s="334">
        <v>0</v>
      </c>
      <c r="F9" s="335">
        <f t="shared" ref="F9:F14" si="0">B9+C9+D9+E9</f>
        <v>35789.360000000001</v>
      </c>
    </row>
    <row r="10" spans="1:6" x14ac:dyDescent="0.25">
      <c r="A10" s="333" t="s">
        <v>413</v>
      </c>
      <c r="B10" s="333">
        <f>-28032.57+'[5]nota 16'!$B$12</f>
        <v>-41106.339999999997</v>
      </c>
      <c r="C10" s="334">
        <v>0</v>
      </c>
      <c r="D10" s="334">
        <v>0</v>
      </c>
      <c r="E10" s="334">
        <v>0</v>
      </c>
      <c r="F10" s="335">
        <f t="shared" si="0"/>
        <v>-41106.339999999997</v>
      </c>
    </row>
    <row r="11" spans="1:6" x14ac:dyDescent="0.25">
      <c r="A11" s="333" t="s">
        <v>414</v>
      </c>
      <c r="B11" s="333">
        <f>73747.7+'[5]nota 16'!$B$14</f>
        <v>93712.72</v>
      </c>
      <c r="C11" s="334">
        <v>0</v>
      </c>
      <c r="D11" s="334">
        <v>0</v>
      </c>
      <c r="E11" s="334">
        <v>0</v>
      </c>
      <c r="F11" s="335">
        <f t="shared" si="0"/>
        <v>93712.72</v>
      </c>
    </row>
    <row r="12" spans="1:6" x14ac:dyDescent="0.25">
      <c r="A12" s="333" t="s">
        <v>415</v>
      </c>
      <c r="B12" s="333">
        <f>11008.4+'[5]nota 16'!$B$15</f>
        <v>14598.349999999999</v>
      </c>
      <c r="C12" s="334">
        <v>0</v>
      </c>
      <c r="D12" s="334">
        <v>0</v>
      </c>
      <c r="E12" s="334">
        <v>0</v>
      </c>
      <c r="F12" s="335">
        <f t="shared" si="0"/>
        <v>14598.349999999999</v>
      </c>
    </row>
    <row r="13" spans="1:6" x14ac:dyDescent="0.25">
      <c r="A13" s="333" t="s">
        <v>416</v>
      </c>
      <c r="B13" s="336"/>
      <c r="C13" s="334">
        <v>1706331.68</v>
      </c>
      <c r="D13" s="334">
        <f>[1]ZOiS_2020!N401</f>
        <v>848286.46</v>
      </c>
      <c r="E13" s="334">
        <f>[1]ZOiS_2020!N406</f>
        <v>393925.56</v>
      </c>
      <c r="F13" s="335">
        <f t="shared" si="0"/>
        <v>2948543.6999999997</v>
      </c>
    </row>
    <row r="14" spans="1:6" x14ac:dyDescent="0.25">
      <c r="A14" s="333" t="s">
        <v>417</v>
      </c>
      <c r="B14" s="336"/>
      <c r="C14" s="334">
        <f>-853165.84+'[5]nota 16'!$C$17</f>
        <v>-1059221.94</v>
      </c>
      <c r="D14" s="334">
        <f>'[5]nota 16'!$D$17</f>
        <v>-94027.5</v>
      </c>
      <c r="E14" s="334">
        <v>0</v>
      </c>
      <c r="F14" s="335">
        <f t="shared" si="0"/>
        <v>-1153249.44</v>
      </c>
    </row>
    <row r="15" spans="1:6" x14ac:dyDescent="0.25">
      <c r="A15" s="330" t="s">
        <v>418</v>
      </c>
      <c r="B15" s="330">
        <f>-[1]ZOiS_2020!O509+'[5]nota 16'!$B$22</f>
        <v>81800</v>
      </c>
      <c r="C15" s="331">
        <f>C7+C13+C14</f>
        <v>6510287.4000000004</v>
      </c>
      <c r="D15" s="331">
        <f>D7+D13+D14</f>
        <v>3367578.12</v>
      </c>
      <c r="E15" s="331">
        <f>E7+E13-E14</f>
        <v>662268.98</v>
      </c>
      <c r="F15" s="332">
        <f>B15+C15+D15+E15</f>
        <v>10621934.5</v>
      </c>
    </row>
    <row r="16" spans="1:6" x14ac:dyDescent="0.25">
      <c r="A16" s="330" t="s">
        <v>419</v>
      </c>
      <c r="B16" s="330">
        <f>-[1]ZOiS_2020!O510+'[5]nota 16'!$B$23</f>
        <v>816512.39</v>
      </c>
      <c r="C16" s="331">
        <v>0</v>
      </c>
      <c r="D16" s="331">
        <v>0</v>
      </c>
      <c r="E16" s="331">
        <v>0</v>
      </c>
      <c r="F16" s="332">
        <f>B16+C16+D16+E16</f>
        <v>816512.39</v>
      </c>
    </row>
    <row r="17" spans="1:6" ht="15.75" thickBot="1" x14ac:dyDescent="0.3">
      <c r="A17" s="337" t="s">
        <v>345</v>
      </c>
      <c r="B17" s="337">
        <f>B7+B8+B9+B10+B11+B12</f>
        <v>898312.3899999999</v>
      </c>
      <c r="C17" s="338">
        <f>C15+C16</f>
        <v>6510287.4000000004</v>
      </c>
      <c r="D17" s="338">
        <f>D15+D16</f>
        <v>3367578.12</v>
      </c>
      <c r="E17" s="338">
        <f>E15+E16</f>
        <v>662268.98</v>
      </c>
      <c r="F17" s="479">
        <f>F15+F16</f>
        <v>11438446.890000001</v>
      </c>
    </row>
    <row r="18" spans="1:6" ht="15.75" thickTop="1" x14ac:dyDescent="0.25"/>
    <row r="19" spans="1:6" ht="15.75" x14ac:dyDescent="0.25">
      <c r="A19" s="326" t="s">
        <v>420</v>
      </c>
      <c r="B19" s="326"/>
      <c r="C19" s="326"/>
      <c r="D19" s="326"/>
      <c r="E19" s="326"/>
    </row>
    <row r="20" spans="1:6" ht="15.75" thickBot="1" x14ac:dyDescent="0.3"/>
    <row r="21" spans="1:6" ht="39.75" thickTop="1" x14ac:dyDescent="0.25">
      <c r="A21" s="339"/>
      <c r="B21" s="328" t="s">
        <v>421</v>
      </c>
      <c r="C21" s="328" t="s">
        <v>422</v>
      </c>
      <c r="D21" s="328" t="s">
        <v>423</v>
      </c>
      <c r="E21" s="340" t="s">
        <v>145</v>
      </c>
      <c r="F21" s="329" t="s">
        <v>345</v>
      </c>
    </row>
    <row r="22" spans="1:6" x14ac:dyDescent="0.25">
      <c r="A22" s="341" t="s">
        <v>408</v>
      </c>
      <c r="B22" s="342">
        <f>-[1]ZOiS_2019!O407+'[5]nota 17'!$B$6</f>
        <v>127200</v>
      </c>
      <c r="C22" s="343">
        <f>-[1]ZOiS_2019!O522</f>
        <v>324000</v>
      </c>
      <c r="D22" s="343">
        <f>-[1]ZOiS_2019!O408</f>
        <v>2400000</v>
      </c>
      <c r="E22" s="343">
        <f>-([1]ZOiS_2019!O523+[1]ZOiS_2019!O524)+'[5]nota 17'!$C$6+'[5]nota 17'!$D$6+'[5]nota 17'!$E$6</f>
        <v>972008.42999999993</v>
      </c>
      <c r="F22" s="344">
        <f>SUM(B22:E22)</f>
        <v>3823208.4299999997</v>
      </c>
    </row>
    <row r="23" spans="1:6" x14ac:dyDescent="0.25">
      <c r="A23" s="341" t="s">
        <v>409</v>
      </c>
      <c r="B23" s="342">
        <v>0</v>
      </c>
      <c r="C23" s="343">
        <v>0</v>
      </c>
      <c r="D23" s="343">
        <v>0</v>
      </c>
      <c r="E23" s="343">
        <v>0</v>
      </c>
      <c r="F23" s="344">
        <f>SUM(B23:E23)</f>
        <v>0</v>
      </c>
    </row>
    <row r="24" spans="1:6" x14ac:dyDescent="0.25">
      <c r="A24" s="341" t="s">
        <v>410</v>
      </c>
      <c r="B24" s="343">
        <f>B22+B23</f>
        <v>127200</v>
      </c>
      <c r="C24" s="343">
        <f>C22+C23</f>
        <v>324000</v>
      </c>
      <c r="D24" s="343">
        <f>D22+D23</f>
        <v>2400000</v>
      </c>
      <c r="E24" s="343">
        <f>E22+E23</f>
        <v>972008.42999999993</v>
      </c>
      <c r="F24" s="344">
        <f>F22+F23</f>
        <v>3823208.4299999997</v>
      </c>
    </row>
    <row r="25" spans="1:6" x14ac:dyDescent="0.25">
      <c r="A25" s="345" t="s">
        <v>424</v>
      </c>
      <c r="B25" s="346">
        <f>129600+'[5]nota 17'!$B$10</f>
        <v>142100</v>
      </c>
      <c r="C25" s="347">
        <v>0</v>
      </c>
      <c r="D25" s="347">
        <v>0</v>
      </c>
      <c r="E25" s="347">
        <f>[1]ZOiS_2020!N513+'[5]nota 17'!$D$10+'[5]nota 17'!$E$10</f>
        <v>538675.16</v>
      </c>
      <c r="F25" s="348">
        <f>B25+C25+D25+E25</f>
        <v>680775.16</v>
      </c>
    </row>
    <row r="26" spans="1:6" x14ac:dyDescent="0.25">
      <c r="A26" s="345" t="s">
        <v>417</v>
      </c>
      <c r="B26" s="346">
        <f>-'[5]nota 17'!$B$11</f>
        <v>25000</v>
      </c>
      <c r="C26" s="347">
        <f>-'[5]nota 17'!$C$11</f>
        <v>6132.09</v>
      </c>
      <c r="D26" s="347">
        <f>SUM(D27:D27)</f>
        <v>0</v>
      </c>
      <c r="E26" s="347">
        <v>0</v>
      </c>
      <c r="F26" s="348">
        <f>B26+C26+D26+E26</f>
        <v>31132.09</v>
      </c>
    </row>
    <row r="27" spans="1:6" x14ac:dyDescent="0.25">
      <c r="A27" s="345" t="s">
        <v>425</v>
      </c>
      <c r="B27" s="346">
        <v>164600</v>
      </c>
      <c r="C27" s="347">
        <v>0</v>
      </c>
      <c r="D27" s="347">
        <v>0</v>
      </c>
      <c r="E27" s="347">
        <v>0</v>
      </c>
      <c r="F27" s="348">
        <f>B27+C27+D27+E27</f>
        <v>164600</v>
      </c>
    </row>
    <row r="28" spans="1:6" x14ac:dyDescent="0.25">
      <c r="A28" s="341" t="s">
        <v>418</v>
      </c>
      <c r="B28" s="330">
        <f>B24+B25-B26-B27</f>
        <v>79700</v>
      </c>
      <c r="C28" s="330">
        <f>C24+C25-C26-C27</f>
        <v>317867.90999999997</v>
      </c>
      <c r="D28" s="330">
        <f>D24+D25-D26-D27</f>
        <v>2400000</v>
      </c>
      <c r="E28" s="330">
        <f>E24+E25-E26-E27</f>
        <v>1510683.5899999999</v>
      </c>
      <c r="F28" s="349">
        <f>F24+F25-F26-F27</f>
        <v>4308251.5</v>
      </c>
    </row>
    <row r="29" spans="1:6" x14ac:dyDescent="0.25">
      <c r="A29" s="341" t="s">
        <v>419</v>
      </c>
      <c r="B29" s="346">
        <f>B23</f>
        <v>0</v>
      </c>
      <c r="C29" s="346">
        <f>C23</f>
        <v>0</v>
      </c>
      <c r="D29" s="346">
        <f>D23</f>
        <v>0</v>
      </c>
      <c r="E29" s="346">
        <f>E23</f>
        <v>0</v>
      </c>
      <c r="F29" s="350">
        <f>F23</f>
        <v>0</v>
      </c>
    </row>
    <row r="30" spans="1:6" ht="15.75" thickBot="1" x14ac:dyDescent="0.3">
      <c r="A30" s="337" t="s">
        <v>345</v>
      </c>
      <c r="B30" s="337">
        <f>B28+B29</f>
        <v>79700</v>
      </c>
      <c r="C30" s="337">
        <f>C28+C29</f>
        <v>317867.90999999997</v>
      </c>
      <c r="D30" s="337">
        <f>D28+D29</f>
        <v>2400000</v>
      </c>
      <c r="E30" s="337">
        <f>E28+E29</f>
        <v>1510683.5899999999</v>
      </c>
      <c r="F30" s="480">
        <f>F28+F29</f>
        <v>4308251.5</v>
      </c>
    </row>
    <row r="31" spans="1:6" ht="15.75" thickTop="1" x14ac:dyDescent="0.25"/>
  </sheetData>
  <pageMargins left="0.7" right="0.7" top="0.75" bottom="0.75" header="0.3" footer="0.3"/>
  <pageSetup paperSize="9" scale="6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showGridLines="0" view="pageBreakPreview" topLeftCell="A13" zoomScale="85" zoomScaleNormal="100" zoomScaleSheetLayoutView="85" workbookViewId="0">
      <selection activeCell="A13" sqref="A13"/>
    </sheetView>
  </sheetViews>
  <sheetFormatPr defaultRowHeight="15" x14ac:dyDescent="0.25"/>
  <cols>
    <col min="1" max="1" width="5.42578125" style="368" customWidth="1"/>
    <col min="2" max="2" width="39.140625" style="327" customWidth="1"/>
    <col min="3" max="3" width="16.7109375" style="325" bestFit="1" customWidth="1"/>
    <col min="4" max="4" width="16.28515625" style="325" bestFit="1" customWidth="1"/>
    <col min="5" max="5" width="16.140625" style="325" customWidth="1"/>
    <col min="6" max="6" width="15.28515625" style="325" customWidth="1"/>
    <col min="7" max="7" width="14" style="325" customWidth="1"/>
    <col min="8" max="9" width="13.28515625" style="325" customWidth="1"/>
    <col min="10" max="10" width="9.140625" style="325"/>
  </cols>
  <sheetData>
    <row r="1" spans="1:10" ht="15.75" x14ac:dyDescent="0.25">
      <c r="A1" s="651" t="s">
        <v>426</v>
      </c>
      <c r="B1" s="651"/>
      <c r="C1" s="324"/>
    </row>
    <row r="2" spans="1:10" ht="16.5" thickBot="1" x14ac:dyDescent="0.3">
      <c r="A2" s="652" t="s">
        <v>427</v>
      </c>
      <c r="B2" s="652"/>
      <c r="C2" s="652"/>
      <c r="D2" s="652"/>
      <c r="E2" s="652"/>
      <c r="F2" s="652"/>
      <c r="G2" s="652"/>
      <c r="H2" s="652"/>
    </row>
    <row r="3" spans="1:10" ht="15.75" thickTop="1" x14ac:dyDescent="0.25">
      <c r="A3" s="653" t="s">
        <v>56</v>
      </c>
      <c r="B3" s="655" t="s">
        <v>428</v>
      </c>
      <c r="C3" s="657" t="s">
        <v>429</v>
      </c>
      <c r="D3" s="657"/>
      <c r="E3" s="657"/>
      <c r="F3" s="657"/>
      <c r="G3" s="657" t="s">
        <v>430</v>
      </c>
      <c r="H3" s="657"/>
      <c r="I3" s="657"/>
      <c r="J3" s="658"/>
    </row>
    <row r="4" spans="1:10" x14ac:dyDescent="0.25">
      <c r="A4" s="654"/>
      <c r="B4" s="656"/>
      <c r="C4" s="351" t="s">
        <v>431</v>
      </c>
      <c r="D4" s="351" t="s">
        <v>432</v>
      </c>
      <c r="E4" s="351" t="s">
        <v>433</v>
      </c>
      <c r="F4" s="351" t="s">
        <v>434</v>
      </c>
      <c r="G4" s="351" t="s">
        <v>431</v>
      </c>
      <c r="H4" s="351" t="s">
        <v>432</v>
      </c>
      <c r="I4" s="351" t="s">
        <v>433</v>
      </c>
      <c r="J4" s="352" t="s">
        <v>434</v>
      </c>
    </row>
    <row r="5" spans="1:10" x14ac:dyDescent="0.25">
      <c r="A5" s="353" t="s">
        <v>66</v>
      </c>
      <c r="B5" s="354" t="s">
        <v>152</v>
      </c>
      <c r="C5" s="355">
        <f>SUM(C6:C9)</f>
        <v>287052.23</v>
      </c>
      <c r="D5" s="355">
        <f t="shared" ref="D5:J5" si="0">SUM(D6:D9)</f>
        <v>354828.38</v>
      </c>
      <c r="E5" s="355">
        <f t="shared" si="0"/>
        <v>0</v>
      </c>
      <c r="F5" s="355">
        <f t="shared" si="0"/>
        <v>0</v>
      </c>
      <c r="G5" s="355">
        <f t="shared" si="0"/>
        <v>331566.78000000003</v>
      </c>
      <c r="H5" s="355">
        <f t="shared" si="0"/>
        <v>626064.93000000005</v>
      </c>
      <c r="I5" s="355">
        <f t="shared" si="0"/>
        <v>0</v>
      </c>
      <c r="J5" s="356">
        <f t="shared" si="0"/>
        <v>0</v>
      </c>
    </row>
    <row r="6" spans="1:10" x14ac:dyDescent="0.25">
      <c r="A6" s="357" t="s">
        <v>74</v>
      </c>
      <c r="B6" s="358" t="s">
        <v>149</v>
      </c>
      <c r="C6" s="359">
        <v>0</v>
      </c>
      <c r="D6" s="359">
        <v>0</v>
      </c>
      <c r="E6" s="359">
        <v>0</v>
      </c>
      <c r="F6" s="359">
        <v>0</v>
      </c>
      <c r="G6" s="359">
        <v>0</v>
      </c>
      <c r="H6" s="359">
        <v>0</v>
      </c>
      <c r="I6" s="359">
        <v>0</v>
      </c>
      <c r="J6" s="360">
        <v>0</v>
      </c>
    </row>
    <row r="7" spans="1:10" ht="26.25" x14ac:dyDescent="0.25">
      <c r="A7" s="357" t="s">
        <v>76</v>
      </c>
      <c r="B7" s="358" t="s">
        <v>150</v>
      </c>
      <c r="C7" s="359">
        <v>0</v>
      </c>
      <c r="D7" s="359">
        <v>0</v>
      </c>
      <c r="E7" s="359">
        <v>0</v>
      </c>
      <c r="F7" s="359">
        <v>0</v>
      </c>
      <c r="G7" s="359">
        <v>0</v>
      </c>
      <c r="H7" s="359">
        <v>0</v>
      </c>
      <c r="I7" s="359">
        <v>0</v>
      </c>
      <c r="J7" s="360">
        <v>0</v>
      </c>
    </row>
    <row r="8" spans="1:10" ht="26.25" x14ac:dyDescent="0.25">
      <c r="A8" s="357" t="s">
        <v>78</v>
      </c>
      <c r="B8" s="358" t="s">
        <v>435</v>
      </c>
      <c r="C8" s="359">
        <v>287052.23</v>
      </c>
      <c r="D8" s="359">
        <v>353303.38</v>
      </c>
      <c r="E8" s="359">
        <v>0</v>
      </c>
      <c r="F8" s="359">
        <v>0</v>
      </c>
      <c r="G8" s="359">
        <v>331566.78000000003</v>
      </c>
      <c r="H8" s="359">
        <v>624539.93000000005</v>
      </c>
      <c r="I8" s="359">
        <v>0</v>
      </c>
      <c r="J8" s="360">
        <v>0</v>
      </c>
    </row>
    <row r="9" spans="1:10" x14ac:dyDescent="0.25">
      <c r="A9" s="357" t="s">
        <v>80</v>
      </c>
      <c r="B9" s="358" t="s">
        <v>115</v>
      </c>
      <c r="C9" s="359">
        <v>0</v>
      </c>
      <c r="D9" s="359">
        <v>1525</v>
      </c>
      <c r="E9" s="359">
        <v>0</v>
      </c>
      <c r="F9" s="359">
        <v>0</v>
      </c>
      <c r="G9" s="359">
        <v>0</v>
      </c>
      <c r="H9" s="359">
        <v>1525</v>
      </c>
      <c r="I9" s="359">
        <v>0</v>
      </c>
      <c r="J9" s="359">
        <v>0</v>
      </c>
    </row>
    <row r="10" spans="1:10" ht="15.75" thickBot="1" x14ac:dyDescent="0.3">
      <c r="A10" s="361"/>
      <c r="B10" s="362" t="s">
        <v>255</v>
      </c>
      <c r="C10" s="363">
        <f>C8</f>
        <v>287052.23</v>
      </c>
      <c r="D10" s="363">
        <f>D8+D9</f>
        <v>354828.38</v>
      </c>
      <c r="E10" s="363">
        <f t="shared" ref="E10:J10" si="1">E8+E9</f>
        <v>0</v>
      </c>
      <c r="F10" s="363">
        <f t="shared" si="1"/>
        <v>0</v>
      </c>
      <c r="G10" s="363">
        <f t="shared" si="1"/>
        <v>331566.78000000003</v>
      </c>
      <c r="H10" s="363">
        <f t="shared" si="1"/>
        <v>626064.93000000005</v>
      </c>
      <c r="I10" s="363">
        <f t="shared" si="1"/>
        <v>0</v>
      </c>
      <c r="J10" s="363">
        <f t="shared" si="1"/>
        <v>0</v>
      </c>
    </row>
    <row r="11" spans="1:10" ht="15.75" thickTop="1" x14ac:dyDescent="0.25">
      <c r="A11" s="364"/>
      <c r="B11" s="365" t="s">
        <v>436</v>
      </c>
      <c r="C11" s="366"/>
      <c r="D11" s="366"/>
      <c r="E11" s="367"/>
      <c r="F11" s="367"/>
      <c r="G11" s="367"/>
      <c r="H11" s="367"/>
      <c r="I11" s="367"/>
      <c r="J11" s="367"/>
    </row>
    <row r="12" spans="1:10" ht="15.75" x14ac:dyDescent="0.25">
      <c r="E12" s="369"/>
      <c r="F12" s="369"/>
      <c r="G12" s="369"/>
      <c r="H12" s="369"/>
    </row>
    <row r="13" spans="1:10" ht="15.75" x14ac:dyDescent="0.25">
      <c r="A13" s="659" t="s">
        <v>437</v>
      </c>
      <c r="B13" s="659"/>
      <c r="C13" s="659"/>
      <c r="D13" s="659"/>
      <c r="G13" s="369"/>
      <c r="H13" s="369"/>
    </row>
    <row r="14" spans="1:10" ht="16.5" thickBot="1" x14ac:dyDescent="0.3">
      <c r="A14" s="325"/>
      <c r="B14" s="228"/>
      <c r="C14" s="228"/>
      <c r="D14" s="228"/>
      <c r="E14" s="228"/>
      <c r="G14" s="369"/>
      <c r="H14" s="369"/>
    </row>
    <row r="15" spans="1:10" ht="25.5" thickTop="1" x14ac:dyDescent="0.25">
      <c r="A15" s="148" t="s">
        <v>56</v>
      </c>
      <c r="B15" s="149" t="s">
        <v>347</v>
      </c>
      <c r="C15" s="370" t="s">
        <v>438</v>
      </c>
      <c r="D15" s="228"/>
      <c r="E15" s="228"/>
      <c r="G15" s="369"/>
      <c r="H15" s="369"/>
    </row>
    <row r="16" spans="1:10" ht="15.75" x14ac:dyDescent="0.25">
      <c r="A16" s="245" t="s">
        <v>64</v>
      </c>
      <c r="B16" s="246" t="s">
        <v>351</v>
      </c>
      <c r="C16" s="247">
        <f>SUM(C17:C18)</f>
        <v>49957957.909999996</v>
      </c>
      <c r="D16" s="244"/>
      <c r="E16" s="244"/>
      <c r="G16" s="369"/>
      <c r="H16" s="369"/>
    </row>
    <row r="17" spans="1:10" ht="15.75" x14ac:dyDescent="0.25">
      <c r="A17" s="248" t="s">
        <v>74</v>
      </c>
      <c r="B17" s="249" t="s">
        <v>439</v>
      </c>
      <c r="C17" s="250">
        <v>0</v>
      </c>
      <c r="D17" s="244"/>
      <c r="E17" s="244"/>
      <c r="G17" s="369"/>
      <c r="H17" s="369"/>
    </row>
    <row r="18" spans="1:10" ht="15.75" x14ac:dyDescent="0.25">
      <c r="A18" s="248" t="s">
        <v>76</v>
      </c>
      <c r="B18" s="249" t="s">
        <v>440</v>
      </c>
      <c r="C18" s="250">
        <f>'[2]nota nr 14 (p),15'!$C$13+'[5]nota nr 18'!$C$42</f>
        <v>49957957.909999996</v>
      </c>
      <c r="D18" s="244"/>
      <c r="E18" s="244"/>
      <c r="G18" s="369"/>
      <c r="H18" s="369"/>
    </row>
    <row r="19" spans="1:10" ht="15.75" x14ac:dyDescent="0.25">
      <c r="A19" s="234" t="s">
        <v>66</v>
      </c>
      <c r="B19" s="251" t="s">
        <v>353</v>
      </c>
      <c r="C19" s="371">
        <f>SUM(C20+C25)</f>
        <v>4027939.3200000003</v>
      </c>
      <c r="D19" s="244"/>
      <c r="E19" s="244"/>
      <c r="G19" s="369"/>
      <c r="H19" s="369"/>
    </row>
    <row r="20" spans="1:10" ht="15.75" x14ac:dyDescent="0.25">
      <c r="A20" s="158" t="s">
        <v>74</v>
      </c>
      <c r="B20" s="159" t="s">
        <v>439</v>
      </c>
      <c r="C20" s="372">
        <f>SUM(C21:C24)</f>
        <v>0</v>
      </c>
      <c r="D20" s="240"/>
      <c r="E20" s="240"/>
      <c r="G20" s="369"/>
      <c r="H20" s="369"/>
    </row>
    <row r="21" spans="1:10" ht="15.75" x14ac:dyDescent="0.25">
      <c r="A21" s="252"/>
      <c r="B21" s="253" t="s">
        <v>441</v>
      </c>
      <c r="C21" s="373"/>
      <c r="D21" s="240"/>
      <c r="E21" s="240"/>
      <c r="G21" s="369"/>
      <c r="H21" s="369"/>
    </row>
    <row r="22" spans="1:10" ht="15.75" x14ac:dyDescent="0.25">
      <c r="A22" s="252"/>
      <c r="B22" s="253" t="s">
        <v>355</v>
      </c>
      <c r="C22" s="373">
        <v>0</v>
      </c>
      <c r="D22" s="254"/>
      <c r="E22" s="254"/>
      <c r="G22" s="369"/>
      <c r="H22" s="369"/>
    </row>
    <row r="23" spans="1:10" ht="15.75" x14ac:dyDescent="0.25">
      <c r="A23" s="252"/>
      <c r="B23" s="253" t="s">
        <v>442</v>
      </c>
      <c r="C23" s="373">
        <v>0</v>
      </c>
      <c r="D23" s="254"/>
      <c r="E23" s="254"/>
      <c r="G23" s="369"/>
      <c r="H23" s="369"/>
    </row>
    <row r="24" spans="1:10" ht="15.75" x14ac:dyDescent="0.25">
      <c r="A24" s="252"/>
      <c r="B24" s="253" t="s">
        <v>443</v>
      </c>
      <c r="C24" s="373">
        <v>0</v>
      </c>
      <c r="D24" s="254"/>
      <c r="E24" s="254"/>
      <c r="G24" s="369"/>
      <c r="H24" s="369"/>
    </row>
    <row r="25" spans="1:10" x14ac:dyDescent="0.25">
      <c r="A25" s="158" t="s">
        <v>76</v>
      </c>
      <c r="B25" s="159" t="s">
        <v>440</v>
      </c>
      <c r="C25" s="372">
        <f>SUM(C26:C29)</f>
        <v>4027939.3200000003</v>
      </c>
      <c r="D25" s="254"/>
      <c r="E25" s="254"/>
    </row>
    <row r="26" spans="1:10" x14ac:dyDescent="0.25">
      <c r="A26" s="252"/>
      <c r="B26" s="253" t="s">
        <v>444</v>
      </c>
      <c r="C26" s="373">
        <f>'[2]nota nr 14 (p),15'!$C$21</f>
        <v>459112.52</v>
      </c>
      <c r="D26" s="240"/>
      <c r="E26" s="240"/>
      <c r="F26" s="240"/>
      <c r="G26" s="240"/>
      <c r="H26" s="240"/>
      <c r="I26" s="240"/>
      <c r="J26" s="240"/>
    </row>
    <row r="27" spans="1:10" x14ac:dyDescent="0.25">
      <c r="A27" s="252"/>
      <c r="B27" s="253" t="s">
        <v>445</v>
      </c>
      <c r="C27" s="373">
        <f>'[2]nota nr 14 (p),15'!$C$22</f>
        <v>104532.53</v>
      </c>
      <c r="D27" s="254"/>
      <c r="E27" s="254"/>
      <c r="F27" s="240"/>
      <c r="G27" s="240"/>
      <c r="H27" s="240"/>
      <c r="I27" s="240"/>
      <c r="J27" s="240"/>
    </row>
    <row r="28" spans="1:10" x14ac:dyDescent="0.25">
      <c r="A28" s="252"/>
      <c r="B28" s="253" t="s">
        <v>442</v>
      </c>
      <c r="C28" s="373">
        <f>'[2]nota nr 14 (p),15'!$C$23+'[5]nota nr 18'!$C$52</f>
        <v>723193.81</v>
      </c>
      <c r="D28" s="254"/>
      <c r="E28" s="254"/>
      <c r="F28" s="244"/>
      <c r="G28" s="244"/>
      <c r="H28" s="244"/>
      <c r="I28" s="244"/>
      <c r="J28" s="244"/>
    </row>
    <row r="29" spans="1:10" x14ac:dyDescent="0.25">
      <c r="A29" s="252"/>
      <c r="B29" s="253" t="s">
        <v>446</v>
      </c>
      <c r="C29" s="373">
        <f>'[2]nota nr 14 (p),15'!$C$24+'[5]nota nr 18'!$C$53</f>
        <v>2741100.46</v>
      </c>
      <c r="D29" s="254"/>
      <c r="E29" s="254"/>
      <c r="F29" s="244"/>
      <c r="G29" s="244"/>
      <c r="H29" s="244"/>
      <c r="I29" s="244"/>
      <c r="J29" s="244"/>
    </row>
    <row r="30" spans="1:10" ht="15.75" thickBot="1" x14ac:dyDescent="0.3">
      <c r="A30" s="622" t="s">
        <v>345</v>
      </c>
      <c r="B30" s="625"/>
      <c r="C30" s="374">
        <f>C16+C19</f>
        <v>53985897.229999997</v>
      </c>
      <c r="D30" s="254"/>
      <c r="E30" s="254"/>
      <c r="F30" s="244"/>
      <c r="G30" s="244"/>
      <c r="H30" s="244"/>
      <c r="I30" s="244"/>
      <c r="J30" s="244"/>
    </row>
    <row r="31" spans="1:10" ht="15.75" thickTop="1" x14ac:dyDescent="0.25">
      <c r="A31" s="244"/>
      <c r="B31" s="244"/>
      <c r="C31" s="244"/>
      <c r="D31" s="244"/>
      <c r="E31" s="257"/>
      <c r="F31" s="244"/>
      <c r="G31" s="244"/>
      <c r="H31" s="244"/>
      <c r="I31" s="244"/>
      <c r="J31" s="244"/>
    </row>
    <row r="32" spans="1:10" x14ac:dyDescent="0.25">
      <c r="A32" s="240"/>
      <c r="B32" s="240"/>
      <c r="C32" s="240"/>
      <c r="D32" s="240"/>
      <c r="E32" s="240"/>
      <c r="F32" s="240"/>
      <c r="G32" s="240"/>
      <c r="H32" s="240"/>
      <c r="I32" s="240"/>
      <c r="J32" s="240"/>
    </row>
    <row r="33" spans="1:10" ht="16.5" thickBot="1" x14ac:dyDescent="0.3">
      <c r="A33" s="660" t="s">
        <v>447</v>
      </c>
      <c r="B33" s="660"/>
      <c r="C33" s="660"/>
      <c r="D33" s="660"/>
      <c r="E33" s="660"/>
      <c r="F33" s="369"/>
      <c r="G33" s="240"/>
      <c r="H33" s="240"/>
      <c r="I33" s="240"/>
      <c r="J33" s="240"/>
    </row>
    <row r="34" spans="1:10" ht="30.75" customHeight="1" thickTop="1" x14ac:dyDescent="0.25">
      <c r="A34" s="661" t="s">
        <v>56</v>
      </c>
      <c r="B34" s="375" t="s">
        <v>448</v>
      </c>
      <c r="C34" s="663" t="s">
        <v>449</v>
      </c>
      <c r="D34" s="663"/>
      <c r="E34" s="663" t="s">
        <v>450</v>
      </c>
      <c r="F34" s="664"/>
      <c r="G34" s="254"/>
      <c r="H34" s="254"/>
      <c r="I34" s="254"/>
      <c r="J34" s="254"/>
    </row>
    <row r="35" spans="1:10" x14ac:dyDescent="0.25">
      <c r="A35" s="662"/>
      <c r="B35" s="376"/>
      <c r="C35" s="377">
        <v>44196</v>
      </c>
      <c r="D35" s="377">
        <v>43830</v>
      </c>
      <c r="E35" s="377">
        <v>44196</v>
      </c>
      <c r="F35" s="377">
        <v>43830</v>
      </c>
      <c r="G35" s="254"/>
      <c r="H35" s="254"/>
      <c r="I35" s="254"/>
      <c r="J35" s="254"/>
    </row>
    <row r="36" spans="1:10" x14ac:dyDescent="0.25">
      <c r="A36" s="378"/>
      <c r="B36" s="379" t="s">
        <v>451</v>
      </c>
      <c r="C36" s="380">
        <f>1866.35+291219.19+12696+1076.68+1912.69</f>
        <v>308770.90999999997</v>
      </c>
      <c r="D36" s="380">
        <v>369826.44</v>
      </c>
      <c r="E36" s="381">
        <f>'[5]nota nr 18'!$E$79</f>
        <v>287052.23</v>
      </c>
      <c r="F36" s="382">
        <f>'[5]nota nr 18'!$F$79</f>
        <v>331566.78000000003</v>
      </c>
      <c r="G36" s="254"/>
      <c r="H36" s="254"/>
      <c r="I36" s="254"/>
      <c r="J36" s="254"/>
    </row>
    <row r="37" spans="1:10" x14ac:dyDescent="0.25">
      <c r="A37" s="378"/>
      <c r="B37" s="379" t="s">
        <v>452</v>
      </c>
      <c r="C37" s="380">
        <f>364860.2</f>
        <v>364860.2</v>
      </c>
      <c r="D37" s="380">
        <v>661312.22</v>
      </c>
      <c r="E37" s="381">
        <f>'[5]nota nr 18'!$E$80</f>
        <v>353303.38</v>
      </c>
      <c r="F37" s="382">
        <f>'[5]nota nr 18'!$F$80</f>
        <v>624539.93000000005</v>
      </c>
      <c r="G37" s="254"/>
      <c r="H37" s="254"/>
      <c r="I37" s="254"/>
      <c r="J37" s="254"/>
    </row>
    <row r="38" spans="1:10" x14ac:dyDescent="0.25">
      <c r="A38" s="378"/>
      <c r="B38" s="379" t="s">
        <v>453</v>
      </c>
      <c r="C38" s="380">
        <v>0</v>
      </c>
      <c r="D38" s="380">
        <v>0</v>
      </c>
      <c r="E38" s="381">
        <v>0</v>
      </c>
      <c r="F38" s="382">
        <v>0</v>
      </c>
      <c r="G38" s="254"/>
      <c r="H38" s="254"/>
      <c r="I38" s="254"/>
      <c r="J38" s="254"/>
    </row>
    <row r="39" spans="1:10" x14ac:dyDescent="0.25">
      <c r="A39" s="378"/>
      <c r="B39" s="379" t="s">
        <v>434</v>
      </c>
      <c r="C39" s="380">
        <v>0</v>
      </c>
      <c r="D39" s="380">
        <v>0</v>
      </c>
      <c r="E39" s="381">
        <v>0</v>
      </c>
      <c r="F39" s="382">
        <v>0</v>
      </c>
      <c r="G39" s="254"/>
      <c r="H39" s="254"/>
      <c r="I39" s="254"/>
      <c r="J39" s="254"/>
    </row>
    <row r="40" spans="1:10" x14ac:dyDescent="0.25">
      <c r="A40" s="666" t="s">
        <v>255</v>
      </c>
      <c r="B40" s="667"/>
      <c r="C40" s="383">
        <f>SUM(C36:C39)</f>
        <v>673631.11</v>
      </c>
      <c r="D40" s="383">
        <f>SUM(D36:D39)</f>
        <v>1031138.6599999999</v>
      </c>
      <c r="E40" s="383">
        <f>SUM(E36:E39)</f>
        <v>640355.61</v>
      </c>
      <c r="F40" s="384">
        <f>SUM(F36:F39)</f>
        <v>956106.71000000008</v>
      </c>
      <c r="G40" s="254"/>
      <c r="H40" s="254"/>
      <c r="I40" s="254"/>
      <c r="J40" s="254"/>
    </row>
    <row r="41" spans="1:10" x14ac:dyDescent="0.25">
      <c r="A41" s="385"/>
      <c r="B41" s="379" t="s">
        <v>454</v>
      </c>
      <c r="C41" s="380">
        <f>-(12.2+33263.3)</f>
        <v>-33275.5</v>
      </c>
      <c r="D41" s="380">
        <v>-75031.95</v>
      </c>
      <c r="E41" s="386" t="s">
        <v>455</v>
      </c>
      <c r="F41" s="387" t="s">
        <v>455</v>
      </c>
      <c r="G41" s="254"/>
      <c r="H41" s="254"/>
      <c r="I41" s="254"/>
      <c r="J41" s="254"/>
    </row>
    <row r="42" spans="1:10" ht="29.25" customHeight="1" x14ac:dyDescent="0.25">
      <c r="A42" s="668" t="s">
        <v>456</v>
      </c>
      <c r="B42" s="669"/>
      <c r="C42" s="383">
        <f>C40+C41</f>
        <v>640355.61</v>
      </c>
      <c r="D42" s="383">
        <f>D40+D41</f>
        <v>956106.71</v>
      </c>
      <c r="E42" s="383">
        <f>E40</f>
        <v>640355.61</v>
      </c>
      <c r="F42" s="384">
        <f>F40</f>
        <v>956106.71000000008</v>
      </c>
      <c r="G42" s="240"/>
      <c r="H42" s="240"/>
      <c r="I42" s="240"/>
      <c r="J42" s="240"/>
    </row>
    <row r="43" spans="1:10" x14ac:dyDescent="0.25">
      <c r="A43" s="378"/>
      <c r="B43" s="670" t="s">
        <v>457</v>
      </c>
      <c r="C43" s="670"/>
      <c r="D43" s="670"/>
      <c r="E43" s="381">
        <f>E36</f>
        <v>287052.23</v>
      </c>
      <c r="F43" s="382">
        <f>F36</f>
        <v>331566.78000000003</v>
      </c>
      <c r="G43" s="254"/>
      <c r="H43" s="254"/>
      <c r="I43" s="254"/>
      <c r="J43" s="254"/>
    </row>
    <row r="44" spans="1:10" ht="15.75" thickBot="1" x14ac:dyDescent="0.3">
      <c r="A44" s="388"/>
      <c r="B44" s="671" t="s">
        <v>458</v>
      </c>
      <c r="C44" s="671"/>
      <c r="D44" s="671"/>
      <c r="E44" s="389">
        <f>E37+E38+E39</f>
        <v>353303.38</v>
      </c>
      <c r="F44" s="390">
        <f>F37+F38+F39</f>
        <v>624539.93000000005</v>
      </c>
      <c r="G44" s="254"/>
      <c r="H44" s="254"/>
      <c r="I44" s="254"/>
      <c r="J44" s="254"/>
    </row>
    <row r="45" spans="1:10" ht="15.75" thickTop="1" x14ac:dyDescent="0.25">
      <c r="A45" s="254"/>
      <c r="B45" s="254"/>
      <c r="C45" s="254"/>
      <c r="D45" s="254"/>
      <c r="E45" s="254"/>
      <c r="F45" s="254"/>
      <c r="G45" s="254"/>
      <c r="H45" s="254"/>
      <c r="I45" s="254"/>
      <c r="J45" s="254"/>
    </row>
    <row r="47" spans="1:10" ht="15.75" x14ac:dyDescent="0.25">
      <c r="A47" s="660" t="s">
        <v>459</v>
      </c>
      <c r="B47" s="660"/>
      <c r="C47" s="660"/>
      <c r="D47" s="660"/>
      <c r="E47" s="660"/>
    </row>
    <row r="48" spans="1:10" ht="15.75" x14ac:dyDescent="0.25">
      <c r="A48" s="665" t="s">
        <v>460</v>
      </c>
      <c r="B48" s="665"/>
      <c r="C48" s="228"/>
      <c r="D48" s="228"/>
      <c r="E48" s="228"/>
    </row>
    <row r="49" spans="1:8" ht="15.75" x14ac:dyDescent="0.25">
      <c r="A49" s="391"/>
      <c r="B49" s="391"/>
      <c r="C49" s="228"/>
      <c r="D49" s="228"/>
      <c r="E49" s="228"/>
    </row>
    <row r="50" spans="1:8" ht="15.75" x14ac:dyDescent="0.25">
      <c r="A50" s="651" t="s">
        <v>461</v>
      </c>
      <c r="B50" s="651"/>
      <c r="C50" s="228"/>
      <c r="D50" s="228"/>
      <c r="E50" s="228"/>
    </row>
    <row r="51" spans="1:8" ht="15.75" x14ac:dyDescent="0.25">
      <c r="A51" s="652" t="s">
        <v>462</v>
      </c>
      <c r="B51" s="652"/>
      <c r="C51" s="652"/>
      <c r="D51" s="652"/>
      <c r="E51" s="652"/>
      <c r="F51" s="652"/>
      <c r="G51" s="652"/>
      <c r="H51" s="652"/>
    </row>
    <row r="52" spans="1:8" ht="15.75" x14ac:dyDescent="0.25">
      <c r="A52" s="665" t="s">
        <v>460</v>
      </c>
      <c r="B52" s="665"/>
      <c r="C52" s="392"/>
      <c r="D52" s="392"/>
      <c r="E52" s="392"/>
      <c r="F52" s="392"/>
      <c r="G52" s="392"/>
      <c r="H52" s="392"/>
    </row>
  </sheetData>
  <mergeCells count="21">
    <mergeCell ref="A50:B50"/>
    <mergeCell ref="A51:H51"/>
    <mergeCell ref="A52:B52"/>
    <mergeCell ref="A40:B40"/>
    <mergeCell ref="A42:B42"/>
    <mergeCell ref="B43:D43"/>
    <mergeCell ref="B44:D44"/>
    <mergeCell ref="A47:E47"/>
    <mergeCell ref="A48:B48"/>
    <mergeCell ref="A13:D13"/>
    <mergeCell ref="A30:B30"/>
    <mergeCell ref="A33:E33"/>
    <mergeCell ref="A34:A35"/>
    <mergeCell ref="C34:D34"/>
    <mergeCell ref="E34:F34"/>
    <mergeCell ref="A1:B1"/>
    <mergeCell ref="A2:H2"/>
    <mergeCell ref="A3:A4"/>
    <mergeCell ref="B3:B4"/>
    <mergeCell ref="C3:F3"/>
    <mergeCell ref="G3:J3"/>
  </mergeCells>
  <pageMargins left="0.7" right="0.7" top="0.75" bottom="0.75" header="0.3" footer="0.3"/>
  <pageSetup paperSize="9" scale="5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showRowColHeaders="0" view="pageBreakPreview" topLeftCell="A2" zoomScale="85" zoomScaleNormal="100" zoomScaleSheetLayoutView="85" workbookViewId="0">
      <selection activeCell="A13" sqref="A13"/>
    </sheetView>
  </sheetViews>
  <sheetFormatPr defaultRowHeight="15" x14ac:dyDescent="0.25"/>
  <cols>
    <col min="1" max="1" width="3.7109375" style="406" customWidth="1"/>
    <col min="2" max="2" width="43.28515625" style="327" customWidth="1"/>
    <col min="3" max="4" width="16.5703125" style="325" customWidth="1"/>
  </cols>
  <sheetData>
    <row r="1" spans="1:4" ht="15.75" x14ac:dyDescent="0.25">
      <c r="A1" s="651" t="s">
        <v>463</v>
      </c>
      <c r="B1" s="651"/>
      <c r="C1" s="324"/>
      <c r="D1" s="324"/>
    </row>
    <row r="2" spans="1:4" ht="15.75" x14ac:dyDescent="0.25">
      <c r="A2" s="672" t="s">
        <v>104</v>
      </c>
      <c r="B2" s="672"/>
      <c r="C2" s="672"/>
      <c r="D2" s="672"/>
    </row>
    <row r="3" spans="1:4" ht="16.5" thickBot="1" x14ac:dyDescent="0.3">
      <c r="A3" s="393"/>
      <c r="B3" s="393"/>
      <c r="C3" s="393"/>
      <c r="D3" s="393"/>
    </row>
    <row r="4" spans="1:4" ht="25.5" thickTop="1" x14ac:dyDescent="0.25">
      <c r="A4" s="394" t="s">
        <v>56</v>
      </c>
      <c r="B4" s="395" t="s">
        <v>9</v>
      </c>
      <c r="C4" s="396" t="s">
        <v>438</v>
      </c>
      <c r="D4" s="370" t="s">
        <v>464</v>
      </c>
    </row>
    <row r="5" spans="1:4" x14ac:dyDescent="0.25">
      <c r="A5" s="397" t="s">
        <v>64</v>
      </c>
      <c r="B5" s="398" t="s">
        <v>465</v>
      </c>
      <c r="C5" s="399">
        <f>SUM(C6:C7)</f>
        <v>22754966.77</v>
      </c>
      <c r="D5" s="400">
        <f>SUM(D6:D7)</f>
        <v>22197482.989999998</v>
      </c>
    </row>
    <row r="6" spans="1:4" x14ac:dyDescent="0.25">
      <c r="A6" s="401"/>
      <c r="B6" s="402" t="s">
        <v>466</v>
      </c>
      <c r="C6" s="324">
        <f>-[1]ZOiS_2020!O527-'[9]Rozliczenia międzyokr.przych i '!$B$8</f>
        <v>21624400.109999999</v>
      </c>
      <c r="D6" s="403">
        <f>-[1]ZOiS_2019!O539</f>
        <v>20166963.949999999</v>
      </c>
    </row>
    <row r="7" spans="1:4" x14ac:dyDescent="0.25">
      <c r="A7" s="401"/>
      <c r="B7" s="402" t="s">
        <v>467</v>
      </c>
      <c r="C7" s="324">
        <f>-[1]ZOiS_2020!O520+'[9]Rozliczenia międzyokr.przych i '!$B$8</f>
        <v>1130566.6599999999</v>
      </c>
      <c r="D7" s="403">
        <f>-[1]ZOiS_2019!O532</f>
        <v>2030519.04</v>
      </c>
    </row>
    <row r="8" spans="1:4" x14ac:dyDescent="0.25">
      <c r="A8" s="397" t="s">
        <v>66</v>
      </c>
      <c r="B8" s="398" t="s">
        <v>468</v>
      </c>
      <c r="C8" s="399">
        <f>SUM(C9:C13)</f>
        <v>16961655</v>
      </c>
      <c r="D8" s="400">
        <f>SUM(D9:D13)</f>
        <v>4644172.29</v>
      </c>
    </row>
    <row r="9" spans="1:4" x14ac:dyDescent="0.25">
      <c r="A9" s="401"/>
      <c r="B9" s="402" t="s">
        <v>469</v>
      </c>
      <c r="C9" s="324">
        <f>'[9]Rozliczenia międzyokr.przych i '!$B$20</f>
        <v>297155.45</v>
      </c>
      <c r="D9" s="403">
        <f>'[9]Rozliczenia międzyokr.przych i '!$C$20</f>
        <v>522271.36</v>
      </c>
    </row>
    <row r="10" spans="1:4" x14ac:dyDescent="0.25">
      <c r="A10" s="401"/>
      <c r="B10" s="402" t="s">
        <v>470</v>
      </c>
      <c r="C10" s="325">
        <f>'[9]Rozliczenia międzyokr.przych i '!$B$19</f>
        <v>3624260.87</v>
      </c>
      <c r="D10" s="403">
        <f>'[9]Rozliczenia międzyokr.przych i '!$C$19</f>
        <v>2899480.44</v>
      </c>
    </row>
    <row r="11" spans="1:4" x14ac:dyDescent="0.25">
      <c r="A11" s="401"/>
      <c r="B11" s="402" t="s">
        <v>471</v>
      </c>
      <c r="C11" s="325">
        <f>'[9]Rozliczenia międzyokr.przych i '!$B$21</f>
        <v>7422629.2999999998</v>
      </c>
      <c r="D11" s="403">
        <v>0</v>
      </c>
    </row>
    <row r="12" spans="1:4" x14ac:dyDescent="0.25">
      <c r="A12" s="401"/>
      <c r="B12" s="402" t="s">
        <v>472</v>
      </c>
      <c r="C12" s="324">
        <f>'[9]Rozliczenia międzyokr.przych i '!$B$23+'[9]Rozliczenia międzyokr.przych i '!$B$22-[1]ZOiS_2020!O519-1190610.21</f>
        <v>2886050.7399999998</v>
      </c>
      <c r="D12" s="403">
        <f>'[9]Rozliczenia międzyokr.przych i '!$C$23-[1]ZOiS_2019!O531-[1]ZOiS_2019!O537-805086.8</f>
        <v>1071368.96</v>
      </c>
    </row>
    <row r="13" spans="1:4" x14ac:dyDescent="0.25">
      <c r="A13" s="401"/>
      <c r="B13" s="402" t="s">
        <v>473</v>
      </c>
      <c r="C13" s="325">
        <f>'[9]Rozliczenia międzyokr.przych i '!$B$17</f>
        <v>2731558.64</v>
      </c>
      <c r="D13" s="403">
        <f>-([1]ZOiS_2019!O525+[1]ZOiS_2019!O526+[1]ZOiS_2019!O533+[1]ZOiS_2019!O534)</f>
        <v>151051.53000000003</v>
      </c>
    </row>
    <row r="14" spans="1:4" ht="15.75" thickBot="1" x14ac:dyDescent="0.3">
      <c r="A14" s="585" t="s">
        <v>345</v>
      </c>
      <c r="B14" s="586"/>
      <c r="C14" s="404">
        <f>C5+C8</f>
        <v>39716621.769999996</v>
      </c>
      <c r="D14" s="405">
        <f>D5+D8</f>
        <v>26841655.279999997</v>
      </c>
    </row>
    <row r="15" spans="1:4" ht="15.75" thickTop="1" x14ac:dyDescent="0.25"/>
    <row r="16" spans="1:4" ht="15.75" x14ac:dyDescent="0.25">
      <c r="A16" s="652" t="s">
        <v>474</v>
      </c>
      <c r="B16" s="652"/>
      <c r="C16" s="652"/>
      <c r="D16" s="652"/>
    </row>
    <row r="17" spans="1:4" ht="16.5" thickBot="1" x14ac:dyDescent="0.3">
      <c r="A17" s="392"/>
      <c r="B17" s="392"/>
      <c r="C17" s="392"/>
      <c r="D17" s="392"/>
    </row>
    <row r="18" spans="1:4" ht="24.75" thickTop="1" x14ac:dyDescent="0.25">
      <c r="A18" s="394" t="s">
        <v>56</v>
      </c>
      <c r="B18" s="395" t="s">
        <v>475</v>
      </c>
      <c r="C18" s="407" t="s">
        <v>334</v>
      </c>
      <c r="D18" s="408" t="s">
        <v>335</v>
      </c>
    </row>
    <row r="19" spans="1:4" x14ac:dyDescent="0.25">
      <c r="A19" s="397" t="s">
        <v>64</v>
      </c>
      <c r="B19" s="398" t="s">
        <v>476</v>
      </c>
      <c r="C19" s="399">
        <f>SUM(C20:C22)-C20</f>
        <v>39997146.005200006</v>
      </c>
      <c r="D19" s="400">
        <f>SUM(D20:D22)-D20</f>
        <v>15837198.810000001</v>
      </c>
    </row>
    <row r="20" spans="1:4" x14ac:dyDescent="0.25">
      <c r="A20" s="401"/>
      <c r="B20" s="398" t="s">
        <v>440</v>
      </c>
      <c r="C20" s="399">
        <f>SUM(C21:C22)</f>
        <v>39997146.005200006</v>
      </c>
      <c r="D20" s="400">
        <f>SUM(D21:D22)</f>
        <v>15837198.810000001</v>
      </c>
    </row>
    <row r="21" spans="1:4" x14ac:dyDescent="0.25">
      <c r="A21" s="409" t="s">
        <v>74</v>
      </c>
      <c r="B21" s="410" t="s">
        <v>477</v>
      </c>
      <c r="C21" s="411">
        <f>8886421.46+1500000+132000+3976402.64+309915+20199*4.6148+81278.4+222445.5+90000+100958.4+19526.38+140000+43320.6</f>
        <v>15595482.725200003</v>
      </c>
      <c r="D21" s="412">
        <f>[10]Arkusz1!$G$14</f>
        <v>15837198.810000001</v>
      </c>
    </row>
    <row r="22" spans="1:4" ht="15.75" thickBot="1" x14ac:dyDescent="0.3">
      <c r="A22" s="413" t="s">
        <v>76</v>
      </c>
      <c r="B22" s="414" t="s">
        <v>115</v>
      </c>
      <c r="C22" s="414">
        <f>9664394.79+14113936.23+'[5]nota nr 19-22'!$C$46</f>
        <v>24401663.280000001</v>
      </c>
      <c r="D22" s="415">
        <v>0</v>
      </c>
    </row>
    <row r="23" spans="1:4" ht="15.75" thickTop="1" x14ac:dyDescent="0.25"/>
    <row r="24" spans="1:4" x14ac:dyDescent="0.25">
      <c r="A24"/>
      <c r="B24"/>
      <c r="C24"/>
      <c r="D24"/>
    </row>
  </sheetData>
  <mergeCells count="4">
    <mergeCell ref="A1:B1"/>
    <mergeCell ref="A2:D2"/>
    <mergeCell ref="A14:B14"/>
    <mergeCell ref="A16:D1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4.28515625" style="142" customWidth="1"/>
    <col min="2" max="2" width="44.7109375" style="142" customWidth="1"/>
    <col min="3" max="3" width="17.5703125" style="142" customWidth="1"/>
    <col min="4" max="4" width="17.42578125" style="142" customWidth="1"/>
  </cols>
  <sheetData>
    <row r="1" spans="1:4" ht="15.75" x14ac:dyDescent="0.25">
      <c r="A1" s="579" t="s">
        <v>478</v>
      </c>
      <c r="B1" s="579"/>
      <c r="C1" s="416"/>
      <c r="D1" s="315"/>
    </row>
    <row r="2" spans="1:4" ht="15.75" x14ac:dyDescent="0.25">
      <c r="A2" s="673" t="s">
        <v>479</v>
      </c>
      <c r="B2" s="673"/>
      <c r="C2" s="673"/>
      <c r="D2" s="673"/>
    </row>
    <row r="3" spans="1:4" ht="16.5" thickBot="1" x14ac:dyDescent="0.3">
      <c r="A3" s="417"/>
      <c r="B3" s="417"/>
      <c r="C3" s="417"/>
      <c r="D3" s="417"/>
    </row>
    <row r="4" spans="1:4" ht="15.75" thickTop="1" x14ac:dyDescent="0.25">
      <c r="A4" s="418" t="s">
        <v>56</v>
      </c>
      <c r="B4" s="419" t="s">
        <v>9</v>
      </c>
      <c r="C4" s="420" t="s">
        <v>480</v>
      </c>
      <c r="D4" s="421" t="s">
        <v>481</v>
      </c>
    </row>
    <row r="5" spans="1:4" ht="27" x14ac:dyDescent="0.25">
      <c r="A5" s="422">
        <v>1</v>
      </c>
      <c r="B5" s="423" t="s">
        <v>482</v>
      </c>
      <c r="C5" s="424">
        <f>SUM(C6:C12)</f>
        <v>362168700.13999999</v>
      </c>
      <c r="D5" s="425">
        <f>SUM(D6:D12)</f>
        <v>370418413.31</v>
      </c>
    </row>
    <row r="6" spans="1:4" x14ac:dyDescent="0.25">
      <c r="A6" s="422"/>
      <c r="B6" s="426" t="s">
        <v>483</v>
      </c>
      <c r="C6" s="427">
        <v>168080362.53999999</v>
      </c>
      <c r="D6" s="428">
        <v>157913758.24000001</v>
      </c>
    </row>
    <row r="7" spans="1:4" x14ac:dyDescent="0.25">
      <c r="A7" s="422"/>
      <c r="B7" s="426" t="s">
        <v>484</v>
      </c>
      <c r="C7" s="427">
        <v>97016377.109999999</v>
      </c>
      <c r="D7" s="428">
        <v>120682953.2</v>
      </c>
    </row>
    <row r="8" spans="1:4" x14ac:dyDescent="0.25">
      <c r="A8" s="422"/>
      <c r="B8" s="426" t="s">
        <v>485</v>
      </c>
      <c r="C8" s="427">
        <v>49712911.969999999</v>
      </c>
      <c r="D8" s="428">
        <v>46197802.840000004</v>
      </c>
    </row>
    <row r="9" spans="1:4" x14ac:dyDescent="0.25">
      <c r="A9" s="422"/>
      <c r="B9" s="426" t="s">
        <v>486</v>
      </c>
      <c r="C9" s="427">
        <v>21175616.239999998</v>
      </c>
      <c r="D9" s="428">
        <v>19363419.120000001</v>
      </c>
    </row>
    <row r="10" spans="1:4" x14ac:dyDescent="0.25">
      <c r="A10" s="422"/>
      <c r="B10" s="426" t="s">
        <v>487</v>
      </c>
      <c r="C10" s="427">
        <v>6372273.9199999999</v>
      </c>
      <c r="D10" s="428">
        <v>5936893.5499999998</v>
      </c>
    </row>
    <row r="11" spans="1:4" x14ac:dyDescent="0.25">
      <c r="A11" s="422"/>
      <c r="B11" s="426" t="s">
        <v>488</v>
      </c>
      <c r="C11" s="427">
        <v>1261961.33</v>
      </c>
      <c r="D11" s="428">
        <v>970996.06</v>
      </c>
    </row>
    <row r="12" spans="1:4" x14ac:dyDescent="0.25">
      <c r="A12" s="422"/>
      <c r="B12" s="426" t="s">
        <v>489</v>
      </c>
      <c r="C12" s="427">
        <f>15184864.06+[6]Arkusz_konsolidacyjny_2020!$C$132+[6]Arkusz_konsolidacyjny_2020!$G$132+[6]Arkusz_konsolidacyjny_2020!$H$132</f>
        <v>18549197.029999997</v>
      </c>
      <c r="D12" s="428">
        <f>12104225.41+2007498.87+'[11]2019'!$C$107+'[11]2019'!$I$107+'[11]2019'!$J$107+391560</f>
        <v>19352590.299999997</v>
      </c>
    </row>
    <row r="13" spans="1:4" ht="27" x14ac:dyDescent="0.25">
      <c r="A13" s="422">
        <v>2</v>
      </c>
      <c r="B13" s="423" t="s">
        <v>490</v>
      </c>
      <c r="C13" s="424">
        <f>SUM(C14:C14)</f>
        <v>4195531.6900000004</v>
      </c>
      <c r="D13" s="425">
        <f>SUM(D14:D14)</f>
        <v>9472782.6899999995</v>
      </c>
    </row>
    <row r="14" spans="1:4" x14ac:dyDescent="0.25">
      <c r="A14" s="429"/>
      <c r="B14" s="430" t="s">
        <v>491</v>
      </c>
      <c r="C14" s="431">
        <v>4195531.6900000004</v>
      </c>
      <c r="D14" s="428">
        <v>9472782.6899999995</v>
      </c>
    </row>
    <row r="15" spans="1:4" ht="15.75" thickBot="1" x14ac:dyDescent="0.3">
      <c r="A15" s="674" t="s">
        <v>345</v>
      </c>
      <c r="B15" s="675"/>
      <c r="C15" s="432">
        <f>C13+C5</f>
        <v>366364231.82999998</v>
      </c>
      <c r="D15" s="433">
        <f>D13+D5</f>
        <v>379891196</v>
      </c>
    </row>
    <row r="16" spans="1:4" ht="17.25" thickTop="1" thickBot="1" x14ac:dyDescent="0.3">
      <c r="A16" s="417"/>
      <c r="B16" s="417"/>
      <c r="C16" s="417"/>
      <c r="D16" s="417"/>
    </row>
    <row r="17" spans="1:4" ht="15.75" thickTop="1" x14ac:dyDescent="0.25">
      <c r="A17" s="418" t="s">
        <v>56</v>
      </c>
      <c r="B17" s="419" t="s">
        <v>9</v>
      </c>
      <c r="C17" s="420" t="s">
        <v>480</v>
      </c>
      <c r="D17" s="421" t="s">
        <v>481</v>
      </c>
    </row>
    <row r="18" spans="1:4" x14ac:dyDescent="0.25">
      <c r="A18" s="422" t="s">
        <v>74</v>
      </c>
      <c r="B18" s="481" t="s">
        <v>492</v>
      </c>
      <c r="C18" s="482">
        <f>C19+C20</f>
        <v>362168700.13999999</v>
      </c>
      <c r="D18" s="425">
        <f>D19+D20</f>
        <v>370418413.31</v>
      </c>
    </row>
    <row r="19" spans="1:4" x14ac:dyDescent="0.25">
      <c r="A19" s="429"/>
      <c r="B19" s="483" t="s">
        <v>493</v>
      </c>
      <c r="C19" s="484">
        <f>C5</f>
        <v>362168700.13999999</v>
      </c>
      <c r="D19" s="428">
        <f>D5</f>
        <v>370418413.31</v>
      </c>
    </row>
    <row r="20" spans="1:4" x14ac:dyDescent="0.25">
      <c r="A20" s="429"/>
      <c r="B20" s="483" t="s">
        <v>494</v>
      </c>
      <c r="C20" s="485">
        <v>0</v>
      </c>
      <c r="D20" s="434">
        <v>0</v>
      </c>
    </row>
    <row r="21" spans="1:4" x14ac:dyDescent="0.25">
      <c r="A21" s="422" t="s">
        <v>76</v>
      </c>
      <c r="B21" s="481" t="s">
        <v>495</v>
      </c>
      <c r="C21" s="482">
        <v>4195531.6900000004</v>
      </c>
      <c r="D21" s="425">
        <v>9472782.6899999995</v>
      </c>
    </row>
    <row r="22" spans="1:4" x14ac:dyDescent="0.25">
      <c r="A22" s="429"/>
      <c r="B22" s="483" t="s">
        <v>493</v>
      </c>
      <c r="C22" s="485">
        <v>4195531.6900000004</v>
      </c>
      <c r="D22" s="428">
        <v>9472782.6899999995</v>
      </c>
    </row>
    <row r="23" spans="1:4" x14ac:dyDescent="0.25">
      <c r="A23" s="429"/>
      <c r="B23" s="483" t="s">
        <v>494</v>
      </c>
      <c r="C23" s="485">
        <v>0</v>
      </c>
      <c r="D23" s="434">
        <v>0</v>
      </c>
    </row>
    <row r="24" spans="1:4" ht="15.75" thickBot="1" x14ac:dyDescent="0.3">
      <c r="A24" s="674" t="s">
        <v>345</v>
      </c>
      <c r="B24" s="675"/>
      <c r="C24" s="432">
        <f>C18+C21</f>
        <v>366364231.82999998</v>
      </c>
      <c r="D24" s="433">
        <f>D18+D21</f>
        <v>379891196</v>
      </c>
    </row>
    <row r="25" spans="1:4" ht="15.75" thickTop="1" x14ac:dyDescent="0.25">
      <c r="A25" s="435"/>
      <c r="B25" s="435"/>
      <c r="C25" s="436"/>
      <c r="D25" s="435"/>
    </row>
    <row r="26" spans="1:4" x14ac:dyDescent="0.25">
      <c r="A26" s="435"/>
      <c r="B26" s="435"/>
      <c r="C26" s="436"/>
      <c r="D26" s="435"/>
    </row>
  </sheetData>
  <mergeCells count="4">
    <mergeCell ref="A1:B1"/>
    <mergeCell ref="A2:D2"/>
    <mergeCell ref="A15:B15"/>
    <mergeCell ref="A24:B2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0"/>
  <sheetViews>
    <sheetView view="pageBreakPreview" zoomScale="85" zoomScaleNormal="100" zoomScaleSheetLayoutView="85" workbookViewId="0">
      <selection activeCell="A13" sqref="A13"/>
    </sheetView>
  </sheetViews>
  <sheetFormatPr defaultRowHeight="15" x14ac:dyDescent="0.25"/>
  <cols>
    <col min="1" max="1" width="61.5703125" style="437" customWidth="1"/>
    <col min="2" max="2" width="16" style="437" customWidth="1"/>
    <col min="3" max="3" width="16.5703125" style="437" customWidth="1"/>
  </cols>
  <sheetData>
    <row r="2" spans="1:3" ht="15.75" x14ac:dyDescent="0.25">
      <c r="A2" s="579" t="s">
        <v>496</v>
      </c>
      <c r="B2" s="579"/>
    </row>
    <row r="3" spans="1:3" ht="15.75" x14ac:dyDescent="0.25">
      <c r="A3" s="673" t="s">
        <v>497</v>
      </c>
      <c r="B3" s="673"/>
      <c r="C3" s="673"/>
    </row>
    <row r="4" spans="1:3" ht="15.75" x14ac:dyDescent="0.25">
      <c r="A4" s="21"/>
      <c r="B4" s="21"/>
      <c r="C4" s="21"/>
    </row>
    <row r="5" spans="1:3" ht="16.5" thickBot="1" x14ac:dyDescent="0.3">
      <c r="A5" s="21"/>
      <c r="B5" s="21"/>
      <c r="C5" s="21"/>
    </row>
    <row r="6" spans="1:3" ht="26.25" thickTop="1" x14ac:dyDescent="0.25">
      <c r="A6" s="438"/>
      <c r="B6" s="439" t="s">
        <v>498</v>
      </c>
      <c r="C6" s="440" t="s">
        <v>499</v>
      </c>
    </row>
    <row r="7" spans="1:3" x14ac:dyDescent="0.25">
      <c r="A7" s="441" t="s">
        <v>500</v>
      </c>
      <c r="B7" s="442">
        <f>66780850.88+844242.01+[6]Arkusz_konsolidacyjny_2020!$J$10</f>
        <v>68210291.979981944</v>
      </c>
      <c r="C7" s="443">
        <f>70567521.17+983000-3297112.29-19804.03</f>
        <v>68233604.849999994</v>
      </c>
    </row>
    <row r="8" spans="1:3" x14ac:dyDescent="0.25">
      <c r="A8" s="444" t="s">
        <v>501</v>
      </c>
      <c r="B8" s="445">
        <f>[2]ZOiS_2020!O233+[2]ZOiS_2020!O234+[2]ZOiS_2020!O235+[2]ZOiS_2020!O239+[2]ZOiS_2020!O240+[2]ZOiS_2020!O241+[2]ZOiS_2020!O242+[2]ZOiS_2020!O244+[2]ZOiS_2020!O245+[2]ZOiS_2020!O246+[2]ZOiS_2020!O247</f>
        <v>1998637.56</v>
      </c>
      <c r="C8" s="446">
        <v>7139868.6799999997</v>
      </c>
    </row>
    <row r="9" spans="1:3" x14ac:dyDescent="0.25">
      <c r="A9" s="444" t="s">
        <v>502</v>
      </c>
      <c r="B9" s="445">
        <f>[2]ZOiS_2020!O236+[2]ZOiS_2020!O237+[2]ZOiS_2020!O238</f>
        <v>6120804.75</v>
      </c>
      <c r="C9" s="446">
        <v>5227229.87</v>
      </c>
    </row>
    <row r="10" spans="1:3" x14ac:dyDescent="0.25">
      <c r="A10" s="444" t="s">
        <v>503</v>
      </c>
      <c r="B10" s="445">
        <f>[2]ZOiS_2020!O361+[2]ZOiS_2020!O372+[2]ZOiS_2020!O373+[2]ZOiS_2020!O375+[2]ZOiS_2020!O243+3716819.35</f>
        <v>4187704.71</v>
      </c>
      <c r="C10" s="446">
        <f>741111.45+5472.69</f>
        <v>746584.1399999999</v>
      </c>
    </row>
    <row r="11" spans="1:3" x14ac:dyDescent="0.25">
      <c r="A11" s="441" t="s">
        <v>504</v>
      </c>
      <c r="B11" s="447">
        <f>SUM(B8:B10)</f>
        <v>12307147.02</v>
      </c>
      <c r="C11" s="443">
        <f>C8+C9+C10</f>
        <v>13113682.690000001</v>
      </c>
    </row>
    <row r="12" spans="1:3" x14ac:dyDescent="0.25">
      <c r="A12" s="444" t="s">
        <v>505</v>
      </c>
      <c r="B12" s="445">
        <f>[2]ZOiS_2020!O287</f>
        <v>74625681.739999995</v>
      </c>
      <c r="C12" s="446">
        <v>100978009.61</v>
      </c>
    </row>
    <row r="13" spans="1:3" x14ac:dyDescent="0.25">
      <c r="A13" s="444" t="s">
        <v>506</v>
      </c>
      <c r="B13" s="445">
        <f>[2]ZOiS_2020!O281+[2]ZOiS_2020!O282+[2]ZOiS_2020!O283+[2]ZOiS_2020!O284+[2]ZOiS_2020!O285+[2]ZOiS_2020!O286</f>
        <v>86273231.280000001</v>
      </c>
      <c r="C13" s="446">
        <v>82425408.109999999</v>
      </c>
    </row>
    <row r="14" spans="1:3" x14ac:dyDescent="0.25">
      <c r="A14" s="444" t="s">
        <v>507</v>
      </c>
      <c r="B14" s="445">
        <f>[2]ZOiS_2020!O274+[2]ZOiS_2020!O275+[2]ZOiS_2020!O276+[2]ZOiS_2020!O277</f>
        <v>661549.67999999993</v>
      </c>
      <c r="C14" s="446">
        <v>376548.74</v>
      </c>
    </row>
    <row r="15" spans="1:3" x14ac:dyDescent="0.25">
      <c r="A15" s="444" t="s">
        <v>503</v>
      </c>
      <c r="B15" s="445">
        <v>34493688.219999999</v>
      </c>
      <c r="C15" s="446">
        <v>35848929.689999998</v>
      </c>
    </row>
    <row r="16" spans="1:3" x14ac:dyDescent="0.25">
      <c r="A16" s="441" t="s">
        <v>508</v>
      </c>
      <c r="B16" s="447">
        <f>SUM(B12:B15)</f>
        <v>196054150.91999999</v>
      </c>
      <c r="C16" s="443">
        <f>SUM(C12:C15)</f>
        <v>219628896.15000001</v>
      </c>
    </row>
    <row r="17" spans="1:3" x14ac:dyDescent="0.25">
      <c r="A17" s="441" t="s">
        <v>509</v>
      </c>
      <c r="B17" s="447">
        <f>'[2]RZiS - porownawczy'!D14+175234.2</f>
        <v>6052791.1799999997</v>
      </c>
      <c r="C17" s="443">
        <f>'[2]RZiS - porownawczy'!F14+149063.97</f>
        <v>6385940.4000000004</v>
      </c>
    </row>
    <row r="18" spans="1:3" x14ac:dyDescent="0.25">
      <c r="A18" s="441" t="s">
        <v>510</v>
      </c>
      <c r="B18" s="447">
        <f>'[2]RZiS - porownawczy'!D16+12163660.86</f>
        <v>68953196.330000013</v>
      </c>
      <c r="C18" s="443">
        <v>62742799.200000003</v>
      </c>
    </row>
    <row r="19" spans="1:3" x14ac:dyDescent="0.25">
      <c r="A19" s="444" t="s">
        <v>511</v>
      </c>
      <c r="B19" s="448">
        <f>[2]ZOiS_2020!O329+[2]ZOiS_2020!O330+[2]ZOiS_2020!O331+[2]ZOiS_2020!O332+[2]ZOiS_2020!O333+[2]ZOiS_2020!O335+[2]ZOiS_2020!O337+[2]ZOiS_2020!O336+[2]ZOiS_2020!O338-B20+2500000</f>
        <v>12256943.26</v>
      </c>
      <c r="C19" s="449">
        <v>10687710.16</v>
      </c>
    </row>
    <row r="20" spans="1:3" x14ac:dyDescent="0.25">
      <c r="A20" s="444" t="s">
        <v>512</v>
      </c>
      <c r="B20" s="448">
        <f>[2]ZOiS_2020!O325</f>
        <v>25931.87</v>
      </c>
      <c r="C20" s="449">
        <v>20956.810000000001</v>
      </c>
    </row>
    <row r="21" spans="1:3" x14ac:dyDescent="0.25">
      <c r="A21" s="444" t="s">
        <v>513</v>
      </c>
      <c r="B21" s="448">
        <f>[2]ZOiS_2020!O334+[2]ZOiS_2020!O339+[2]ZOiS_2020!O340+[2]ZOiS_2020!O341+[2]ZOiS_2020!O342+[2]ZOiS_2020!O343+[2]ZOiS_2020!O344+[2]ZOiS_2020!O345+[2]ZOiS_2020!O346+[2]ZOiS_2020!O347+177804.99</f>
        <v>1985444.14</v>
      </c>
      <c r="C21" s="449">
        <v>2261931.27</v>
      </c>
    </row>
    <row r="22" spans="1:3" x14ac:dyDescent="0.25">
      <c r="A22" s="450" t="s">
        <v>514</v>
      </c>
      <c r="B22" s="451">
        <f>B19+B20+B21</f>
        <v>14268319.27</v>
      </c>
      <c r="C22" s="452">
        <f>C19+C20+C21</f>
        <v>12970598.24</v>
      </c>
    </row>
    <row r="23" spans="1:3" x14ac:dyDescent="0.25">
      <c r="A23" s="444" t="s">
        <v>515</v>
      </c>
      <c r="B23" s="448">
        <f>[2]ZOiS_2020!O348+[2]ZOiS_2020!O349+[2]ZOiS_2020!O350+[2]ZOiS_2020!O351+[2]ZOiS_2020!O352+[2]ZOiS_2020!O353+[2]ZOiS_2020!O354+[2]ZOiS_2020!O355+[2]ZOiS_2020!O356+90137.03</f>
        <v>300648.17000000004</v>
      </c>
      <c r="C23" s="449">
        <f>[2]ZOiS_2019!O357+[2]ZOiS_2019!O358+[2]ZOiS_2019!O359+[2]ZOiS_2019!O360+[2]ZOiS_2019!O361+[2]ZOiS_2019!O362+[2]ZOiS_2019!O363+[2]ZOiS_2019!O364+[2]ZOiS_2019!O365</f>
        <v>763832.37000000011</v>
      </c>
    </row>
    <row r="24" spans="1:3" x14ac:dyDescent="0.25">
      <c r="A24" s="444" t="s">
        <v>516</v>
      </c>
      <c r="B24" s="448">
        <f>[2]ZOiS_2020!O359+[2]ZOiS_2020!O362</f>
        <v>685789.7</v>
      </c>
      <c r="C24" s="449">
        <f>[2]ZOiS_2019!O368+[2]ZOiS_2019!O371</f>
        <v>605989.31000000006</v>
      </c>
    </row>
    <row r="25" spans="1:3" x14ac:dyDescent="0.25">
      <c r="A25" s="444" t="s">
        <v>517</v>
      </c>
      <c r="B25" s="448">
        <f>[2]ZOiS_2020!O360+[2]ZOiS_2020!O358+[2]ZOiS_2020!O357</f>
        <v>122197.75</v>
      </c>
      <c r="C25" s="449">
        <f>[2]ZOiS_2019!O366+[2]ZOiS_2019!O367+[2]ZOiS_2019!O369</f>
        <v>194442.36000000002</v>
      </c>
    </row>
    <row r="26" spans="1:3" x14ac:dyDescent="0.25">
      <c r="A26" s="444" t="s">
        <v>518</v>
      </c>
      <c r="B26" s="448">
        <f>[2]ZOiS_2020!O363+[2]ZOiS_2020!O364</f>
        <v>590119.22</v>
      </c>
      <c r="C26" s="449">
        <v>0</v>
      </c>
    </row>
    <row r="27" spans="1:3" x14ac:dyDescent="0.25">
      <c r="A27" s="453" t="s">
        <v>519</v>
      </c>
      <c r="B27" s="454">
        <f>[2]ZOiS_2020!O371</f>
        <v>376633.53</v>
      </c>
      <c r="C27" s="455">
        <f>[2]ZOiS_2019!O381</f>
        <v>244285.91</v>
      </c>
    </row>
    <row r="28" spans="1:3" x14ac:dyDescent="0.25">
      <c r="A28" s="453" t="s">
        <v>520</v>
      </c>
      <c r="B28" s="454">
        <f>[2]ZOiS_2020!O374+165097.26</f>
        <v>223309.27000000002</v>
      </c>
      <c r="C28" s="455">
        <f>[2]ZOiS_2019!O384+[2]ZOiS_2019!O377+[2]ZOiS_2019!O376+[2]ZOiS_2019!O372+297848.96-85832.87</f>
        <v>385690.73000000004</v>
      </c>
    </row>
    <row r="29" spans="1:3" x14ac:dyDescent="0.25">
      <c r="A29" s="450" t="s">
        <v>521</v>
      </c>
      <c r="B29" s="451">
        <f>SUM(B23:B28)</f>
        <v>2298697.64</v>
      </c>
      <c r="C29" s="452">
        <f>SUM(C23:C28)</f>
        <v>2194240.6800000002</v>
      </c>
    </row>
    <row r="30" spans="1:3" x14ac:dyDescent="0.25">
      <c r="A30" s="450" t="s">
        <v>177</v>
      </c>
      <c r="B30" s="451">
        <f>'[2]RZiS - porownawczy'!D19+14666.46</f>
        <v>3362242.8</v>
      </c>
      <c r="C30" s="452">
        <f>'[2]RZiS - porownawczy'!F19+558110.9</f>
        <v>8301089.2800000003</v>
      </c>
    </row>
    <row r="31" spans="1:3" ht="15.75" thickBot="1" x14ac:dyDescent="0.3">
      <c r="A31" s="456" t="s">
        <v>522</v>
      </c>
      <c r="B31" s="457">
        <f>B7+B11+B16+B17+B18+B22+B29+B30</f>
        <v>371506837.13998193</v>
      </c>
      <c r="C31" s="458">
        <f>C7+C11+C16+C17+C18+C22+C29+C30</f>
        <v>393570851.48999995</v>
      </c>
    </row>
    <row r="32" spans="1:3" ht="15.75" thickTop="1" x14ac:dyDescent="0.25">
      <c r="A32" s="459" t="s">
        <v>523</v>
      </c>
      <c r="B32" s="460">
        <f>'[1]RZiS-kalkulacyjny'!D8</f>
        <v>323926683.66001803</v>
      </c>
      <c r="C32" s="461">
        <f>'[1]RZiS-kalkulacyjny'!E8</f>
        <v>328727237.12</v>
      </c>
    </row>
    <row r="33" spans="1:3" x14ac:dyDescent="0.25">
      <c r="A33" s="444" t="s">
        <v>524</v>
      </c>
      <c r="B33" s="454">
        <f>'[1]RZiS-kalkulacyjny'!D13</f>
        <v>15541104.159999998</v>
      </c>
      <c r="C33" s="455">
        <f>'[1]RZiS-kalkulacyjny'!E13</f>
        <v>15658864.16</v>
      </c>
    </row>
    <row r="34" spans="1:3" x14ac:dyDescent="0.25">
      <c r="A34" s="444" t="s">
        <v>525</v>
      </c>
      <c r="B34" s="454">
        <f>'[1]RZiS-kalkulacyjny'!D14</f>
        <v>27960434.32</v>
      </c>
      <c r="C34" s="455">
        <f>'[1]RZiS-kalkulacyjny'!E14</f>
        <v>45010655.759999998</v>
      </c>
    </row>
    <row r="35" spans="1:3" x14ac:dyDescent="0.25">
      <c r="A35" s="444" t="s">
        <v>526</v>
      </c>
      <c r="B35" s="454">
        <v>0</v>
      </c>
      <c r="C35" s="455">
        <f>-106200+615106.45</f>
        <v>508906.44999999995</v>
      </c>
    </row>
    <row r="36" spans="1:3" ht="15.75" thickBot="1" x14ac:dyDescent="0.3">
      <c r="A36" s="462" t="s">
        <v>527</v>
      </c>
      <c r="B36" s="463">
        <f>'[2]nota nr 18'!$B$40</f>
        <v>4078615.0000000335</v>
      </c>
      <c r="C36" s="464">
        <f>'[2]nota nr 18'!$C$40</f>
        <v>3665188</v>
      </c>
    </row>
    <row r="37" spans="1:3" ht="15.75" thickTop="1" x14ac:dyDescent="0.25">
      <c r="A37" s="465"/>
      <c r="B37" s="466"/>
      <c r="C37" s="466"/>
    </row>
    <row r="39" spans="1:3" x14ac:dyDescent="0.25">
      <c r="B39" s="467"/>
      <c r="C39" s="467"/>
    </row>
    <row r="40" spans="1:3" x14ac:dyDescent="0.25">
      <c r="B40" s="467"/>
    </row>
    <row r="41" spans="1:3" x14ac:dyDescent="0.25">
      <c r="A41" s="468"/>
      <c r="B41" s="469"/>
      <c r="C41" s="469"/>
    </row>
    <row r="42" spans="1:3" x14ac:dyDescent="0.25">
      <c r="B42" s="467"/>
      <c r="C42" s="467"/>
    </row>
    <row r="43" spans="1:3" x14ac:dyDescent="0.25">
      <c r="A43" s="467"/>
      <c r="B43" s="467"/>
    </row>
    <row r="44" spans="1:3" x14ac:dyDescent="0.25">
      <c r="A44" s="467"/>
      <c r="B44" s="467"/>
      <c r="C44" s="467"/>
    </row>
    <row r="47" spans="1:3" x14ac:dyDescent="0.25">
      <c r="C47" s="467"/>
    </row>
    <row r="50" spans="3:3" x14ac:dyDescent="0.25">
      <c r="C50" s="467"/>
    </row>
  </sheetData>
  <mergeCells count="2">
    <mergeCell ref="A2:B2"/>
    <mergeCell ref="A3:C3"/>
  </mergeCells>
  <pageMargins left="0.7" right="0.7" top="0.75" bottom="0.75" header="0.3" footer="0.3"/>
  <pageSetup paperSize="9" scale="9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3.7109375" style="368" customWidth="1"/>
    <col min="2" max="2" width="46.7109375" style="327" customWidth="1"/>
    <col min="3" max="3" width="16.42578125" style="325" customWidth="1"/>
    <col min="4" max="4" width="16.7109375" style="325" customWidth="1"/>
  </cols>
  <sheetData>
    <row r="1" spans="1:4" ht="15.75" x14ac:dyDescent="0.25">
      <c r="A1" s="651" t="s">
        <v>528</v>
      </c>
      <c r="B1" s="651"/>
      <c r="C1" s="324"/>
      <c r="D1" s="324"/>
    </row>
    <row r="2" spans="1:4" ht="15.75" x14ac:dyDescent="0.25">
      <c r="A2" s="672" t="s">
        <v>185</v>
      </c>
      <c r="B2" s="672"/>
      <c r="C2" s="324"/>
      <c r="D2" s="324"/>
    </row>
    <row r="3" spans="1:4" ht="16.5" thickBot="1" x14ac:dyDescent="0.3">
      <c r="A3" s="393"/>
      <c r="B3" s="393"/>
      <c r="C3" s="324"/>
      <c r="D3" s="324"/>
    </row>
    <row r="4" spans="1:4" ht="15.75" thickTop="1" x14ac:dyDescent="0.25">
      <c r="A4" s="470" t="s">
        <v>56</v>
      </c>
      <c r="B4" s="471" t="s">
        <v>9</v>
      </c>
      <c r="C4" s="472" t="s">
        <v>480</v>
      </c>
      <c r="D4" s="473" t="s">
        <v>481</v>
      </c>
    </row>
    <row r="5" spans="1:4" x14ac:dyDescent="0.25">
      <c r="A5" s="486" t="s">
        <v>64</v>
      </c>
      <c r="B5" s="487" t="s">
        <v>186</v>
      </c>
      <c r="C5" s="478">
        <f>'[12]nota nr 24-25'!$C$8</f>
        <v>84415.31</v>
      </c>
      <c r="D5" s="488">
        <f>'[12]nota nr 24-25'!$D$8</f>
        <v>221148.12</v>
      </c>
    </row>
    <row r="6" spans="1:4" x14ac:dyDescent="0.25">
      <c r="A6" s="486" t="s">
        <v>66</v>
      </c>
      <c r="B6" s="487" t="s">
        <v>187</v>
      </c>
      <c r="C6" s="478">
        <f>-([1]ZOiS_2020!O467+[1]ZOiS_2020!O477+[1]ZOiS_2020!O478)</f>
        <v>3014469.39</v>
      </c>
      <c r="D6" s="488">
        <f>-([1]ZOiS_2019!O479+[1]ZOiS_2019!O480+[1]ZOiS_2019!O488+[1]ZOiS_2019!O489)</f>
        <v>3939560.41</v>
      </c>
    </row>
    <row r="7" spans="1:4" x14ac:dyDescent="0.25">
      <c r="A7" s="486" t="s">
        <v>68</v>
      </c>
      <c r="B7" s="487" t="s">
        <v>529</v>
      </c>
      <c r="C7" s="478">
        <f>SUM(C8:C11)</f>
        <v>2536133.3400000003</v>
      </c>
      <c r="D7" s="488">
        <f>SUM(D8:D11)</f>
        <v>4703409.4899999993</v>
      </c>
    </row>
    <row r="8" spans="1:4" x14ac:dyDescent="0.25">
      <c r="A8" s="401" t="s">
        <v>74</v>
      </c>
      <c r="B8" s="402" t="s">
        <v>530</v>
      </c>
      <c r="C8" s="474">
        <f>-([1]ZOiS_2020!O464+[1]ZOiS_2020!O465+[1]ZOiS_2020!O466)</f>
        <v>557295.69999999995</v>
      </c>
      <c r="D8" s="475">
        <f>-([1]ZOiS_2019!O475+[1]ZOiS_2019!O476+[1]ZOiS_2019!O477+[1]ZOiS_2019!O478)</f>
        <v>3505831.3899999997</v>
      </c>
    </row>
    <row r="9" spans="1:4" x14ac:dyDescent="0.25">
      <c r="A9" s="401" t="s">
        <v>76</v>
      </c>
      <c r="B9" s="402" t="s">
        <v>531</v>
      </c>
      <c r="C9" s="474">
        <f>-([1]ZOiS_2020!O468+[1]ZOiS_2020!O470+[1]ZOiS_2020!O471+[1]ZOiS_2020!O472+[1]ZOiS_2020!O473)</f>
        <v>1866565.33</v>
      </c>
      <c r="D9" s="475">
        <f>-([1]ZOiS_2019!O481+[1]ZOiS_2019!O482+[1]ZOiS_2019!O484+[1]ZOiS_2019!O485)</f>
        <v>913257.42</v>
      </c>
    </row>
    <row r="10" spans="1:4" x14ac:dyDescent="0.25">
      <c r="A10" s="401" t="s">
        <v>78</v>
      </c>
      <c r="B10" s="402" t="s">
        <v>532</v>
      </c>
      <c r="C10" s="474">
        <f>-[1]ZOiS_2020!O474</f>
        <v>40274</v>
      </c>
      <c r="D10" s="475">
        <v>0</v>
      </c>
    </row>
    <row r="11" spans="1:4" x14ac:dyDescent="0.25">
      <c r="A11" s="401" t="s">
        <v>80</v>
      </c>
      <c r="B11" s="402" t="s">
        <v>533</v>
      </c>
      <c r="C11" s="474">
        <f>-([1]ZOiS_2020!O475+[1]ZOiS_2020!O476)+'[12]nota nr 24-25'!$C$21+'[12]nota nr 24-25'!$C$23+669.57</f>
        <v>71998.31</v>
      </c>
      <c r="D11" s="475">
        <f>-([1]ZOiS_2019!O486+[1]ZOiS_2019!O487)+'[12]nota nr 24-25'!$D$21+'[12]nota nr 24-25'!$D$23-317700</f>
        <v>284320.67999999993</v>
      </c>
    </row>
    <row r="12" spans="1:4" ht="15.75" thickBot="1" x14ac:dyDescent="0.3">
      <c r="A12" s="585" t="s">
        <v>345</v>
      </c>
      <c r="B12" s="586"/>
      <c r="C12" s="476">
        <f>C5+C6+C7</f>
        <v>5635018.040000001</v>
      </c>
      <c r="D12" s="477">
        <f>D5+D6+D7</f>
        <v>8864118.0199999996</v>
      </c>
    </row>
    <row r="13" spans="1:4" ht="15.75" thickTop="1" x14ac:dyDescent="0.25"/>
    <row r="14" spans="1:4" ht="15.75" x14ac:dyDescent="0.25">
      <c r="A14" s="651" t="s">
        <v>534</v>
      </c>
      <c r="B14" s="651"/>
      <c r="C14" s="324"/>
      <c r="D14" s="324"/>
    </row>
    <row r="15" spans="1:4" ht="15.75" x14ac:dyDescent="0.25">
      <c r="A15" s="672" t="s">
        <v>191</v>
      </c>
      <c r="B15" s="672"/>
      <c r="C15" s="324"/>
      <c r="D15" s="324"/>
    </row>
    <row r="16" spans="1:4" ht="16.5" thickBot="1" x14ac:dyDescent="0.3">
      <c r="A16" s="393"/>
      <c r="B16" s="393"/>
      <c r="C16" s="324"/>
      <c r="D16" s="324"/>
    </row>
    <row r="17" spans="1:4" ht="15.75" thickTop="1" x14ac:dyDescent="0.25">
      <c r="A17" s="470" t="s">
        <v>56</v>
      </c>
      <c r="B17" s="471" t="s">
        <v>9</v>
      </c>
      <c r="C17" s="472" t="s">
        <v>480</v>
      </c>
      <c r="D17" s="473" t="s">
        <v>481</v>
      </c>
    </row>
    <row r="18" spans="1:4" x14ac:dyDescent="0.25">
      <c r="A18" s="486" t="s">
        <v>64</v>
      </c>
      <c r="B18" s="487" t="s">
        <v>192</v>
      </c>
      <c r="C18" s="478">
        <f>[1]ZOiS_2020!O462+[1]ZOiS_2020!O463+[1]ZOiS_2020!O479+[1]ZOiS_2020!O481+[1]ZOiS_2020!O480+[1]ZOiS_2020!O482</f>
        <v>1468314.3800000001</v>
      </c>
      <c r="D18" s="488">
        <f>[1]ZOiS_2019!O473+[1]ZOiS_2019!O474+[1]ZOiS_2019!O490+[1]ZOiS_2019!O491+[1]ZOiS_2019!O492+[1]ZOiS_2019!O493+[1]ZOiS_2019!O494</f>
        <v>762159.22</v>
      </c>
    </row>
    <row r="19" spans="1:4" x14ac:dyDescent="0.25">
      <c r="A19" s="486" t="s">
        <v>66</v>
      </c>
      <c r="B19" s="487" t="s">
        <v>188</v>
      </c>
      <c r="C19" s="478">
        <f>[1]ZOiS_2020!O487+[1]ZOiS_2020!O491+[1]ZOiS_2020!O492+[1]ZOiS_2020!O493+[1]ZOiS_2020!O494+[1]ZOiS_2020!O495+[1]ZOiS_2020!O497+492</f>
        <v>3387657.5999999996</v>
      </c>
      <c r="D19" s="488">
        <f>[1]ZOiS_2019!O504+[1]ZOiS_2019!O505+[1]ZOiS_2019!O506+[1]ZOiS_2019!O507+[1]ZOiS_2019!O508+[1]ZOiS_2019!O509+'[12]nota nr 24-25'!$D$38</f>
        <v>11207656.239999998</v>
      </c>
    </row>
    <row r="20" spans="1:4" x14ac:dyDescent="0.25">
      <c r="A20" s="486" t="s">
        <v>68</v>
      </c>
      <c r="B20" s="487" t="s">
        <v>535</v>
      </c>
      <c r="C20" s="478">
        <f>SUM(C21:C24)</f>
        <v>2363472.48</v>
      </c>
      <c r="D20" s="488">
        <f>SUM(D21:D24)</f>
        <v>2164579.85</v>
      </c>
    </row>
    <row r="21" spans="1:4" x14ac:dyDescent="0.25">
      <c r="A21" s="401" t="s">
        <v>74</v>
      </c>
      <c r="B21" s="402" t="s">
        <v>536</v>
      </c>
      <c r="C21" s="474">
        <f>[1]ZOiS_2020!O483+[1]ZOiS_2020!O484+[1]ZOiS_2020!O485+3072.68</f>
        <v>1098347.0199999998</v>
      </c>
      <c r="D21" s="475">
        <f>[1]ZOiS_2019!O497+[1]ZOiS_2019!O498+'[12]nota nr 24-25'!$D$49</f>
        <v>1828083.25</v>
      </c>
    </row>
    <row r="22" spans="1:4" x14ac:dyDescent="0.25">
      <c r="A22" s="401" t="s">
        <v>76</v>
      </c>
      <c r="B22" s="402" t="s">
        <v>537</v>
      </c>
      <c r="C22" s="474">
        <f>[1]ZOiS_2020!O486+3644.47</f>
        <v>20898.32</v>
      </c>
      <c r="D22" s="475">
        <f>52792.08+'[12]nota nr 24-25'!$D$53</f>
        <v>54680.08</v>
      </c>
    </row>
    <row r="23" spans="1:4" x14ac:dyDescent="0.25">
      <c r="A23" s="401" t="s">
        <v>78</v>
      </c>
      <c r="B23" s="402" t="s">
        <v>538</v>
      </c>
      <c r="C23" s="474">
        <f>[1]ZOiS_2020!O488</f>
        <v>458904.08</v>
      </c>
      <c r="D23" s="475">
        <v>96600</v>
      </c>
    </row>
    <row r="24" spans="1:4" x14ac:dyDescent="0.25">
      <c r="A24" s="401" t="s">
        <v>80</v>
      </c>
      <c r="B24" s="402" t="s">
        <v>539</v>
      </c>
      <c r="C24" s="474">
        <f>[1]ZOiS_2020!O489+[1]ZOiS_2020!O490+[1]ZOiS_2020!O496+1867.73+950.16</f>
        <v>785323.06</v>
      </c>
      <c r="D24" s="475">
        <f>[1]ZOiS_2019!O495+[1]ZOiS_2019!O496+[1]ZOiS_2019!O503+[1]ZOiS_2019!O502+[1]ZOiS_2019!O500+'[12]nota nr 24-25'!$D$55+'[12]nota nr 24-25'!$D$54+'[12]nota nr 24-25'!$D$52+10567.72</f>
        <v>185216.52</v>
      </c>
    </row>
    <row r="25" spans="1:4" ht="15.75" thickBot="1" x14ac:dyDescent="0.3">
      <c r="A25" s="585" t="s">
        <v>345</v>
      </c>
      <c r="B25" s="586"/>
      <c r="C25" s="476">
        <f>C18+C20+C19</f>
        <v>7219444.46</v>
      </c>
      <c r="D25" s="477">
        <f>D18+D19+D20</f>
        <v>14134395.309999999</v>
      </c>
    </row>
    <row r="26" spans="1:4" ht="15.75" thickTop="1" x14ac:dyDescent="0.25">
      <c r="A26" s="406"/>
    </row>
  </sheetData>
  <mergeCells count="6">
    <mergeCell ref="A25:B25"/>
    <mergeCell ref="A1:B1"/>
    <mergeCell ref="A2:B2"/>
    <mergeCell ref="A12:B12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6"/>
  <sheetViews>
    <sheetView view="pageBreakPreview" topLeftCell="A6" zoomScale="85" zoomScaleNormal="100" zoomScaleSheetLayoutView="85" workbookViewId="0">
      <selection activeCell="A13" sqref="A13"/>
    </sheetView>
  </sheetViews>
  <sheetFormatPr defaultRowHeight="15" x14ac:dyDescent="0.25"/>
  <cols>
    <col min="1" max="1" width="5.28515625" style="3" customWidth="1"/>
    <col min="2" max="2" width="55.7109375" style="3" customWidth="1"/>
    <col min="3" max="3" width="9.7109375" style="35" customWidth="1"/>
    <col min="4" max="4" width="14.28515625" style="3" bestFit="1" customWidth="1"/>
    <col min="5" max="5" width="14.42578125" style="3" customWidth="1"/>
    <col min="6" max="6" width="13.140625" style="3" customWidth="1"/>
    <col min="7" max="7" width="13.85546875" style="3" bestFit="1" customWidth="1"/>
  </cols>
  <sheetData>
    <row r="2" spans="1:7" ht="15.75" x14ac:dyDescent="0.25">
      <c r="A2" s="583" t="s">
        <v>51</v>
      </c>
      <c r="B2" s="583"/>
      <c r="C2" s="583"/>
      <c r="D2" s="583"/>
      <c r="E2" s="583"/>
      <c r="F2" s="583"/>
      <c r="G2" s="583"/>
    </row>
    <row r="3" spans="1:7" ht="15.75" x14ac:dyDescent="0.25">
      <c r="A3" s="1" t="s">
        <v>52</v>
      </c>
      <c r="B3" s="1"/>
      <c r="C3" s="1"/>
    </row>
    <row r="5" spans="1:7" x14ac:dyDescent="0.25">
      <c r="A5" s="2" t="s">
        <v>53</v>
      </c>
    </row>
    <row r="6" spans="1:7" ht="15.75" x14ac:dyDescent="0.25">
      <c r="A6" s="582" t="s">
        <v>541</v>
      </c>
      <c r="B6" s="582"/>
      <c r="C6" s="582"/>
      <c r="D6" s="582"/>
      <c r="E6" s="582"/>
      <c r="F6" s="1"/>
    </row>
    <row r="7" spans="1:7" ht="27.75" customHeight="1" x14ac:dyDescent="0.25">
      <c r="A7" s="582" t="s">
        <v>54</v>
      </c>
      <c r="B7" s="582"/>
      <c r="C7" s="582"/>
      <c r="D7" s="582"/>
      <c r="E7" s="582"/>
      <c r="F7" s="587"/>
    </row>
    <row r="8" spans="1:7" ht="28.5" customHeight="1" x14ac:dyDescent="0.25">
      <c r="A8" s="584" t="s">
        <v>542</v>
      </c>
      <c r="B8" s="584"/>
      <c r="C8" s="584"/>
      <c r="D8" s="584"/>
      <c r="E8" s="584"/>
      <c r="F8" s="587"/>
    </row>
    <row r="9" spans="1:7" x14ac:dyDescent="0.25">
      <c r="A9" s="584" t="s">
        <v>55</v>
      </c>
      <c r="B9" s="584"/>
      <c r="C9" s="584"/>
      <c r="D9" s="584"/>
      <c r="E9" s="584"/>
    </row>
    <row r="10" spans="1:7" x14ac:dyDescent="0.25">
      <c r="A10" s="584" t="s">
        <v>543</v>
      </c>
      <c r="B10" s="584"/>
      <c r="C10" s="584"/>
      <c r="D10" s="584"/>
      <c r="E10" s="584"/>
    </row>
    <row r="11" spans="1:7" ht="27" customHeight="1" x14ac:dyDescent="0.25">
      <c r="A11" s="584" t="s">
        <v>544</v>
      </c>
      <c r="B11" s="584"/>
      <c r="C11" s="584"/>
      <c r="D11" s="584"/>
      <c r="E11" s="584"/>
      <c r="F11" s="587"/>
    </row>
    <row r="13" spans="1:7" ht="15.75" x14ac:dyDescent="0.25">
      <c r="A13" s="579" t="s">
        <v>7</v>
      </c>
      <c r="B13" s="579"/>
      <c r="C13" s="579"/>
      <c r="D13" s="579"/>
      <c r="E13" s="579"/>
      <c r="F13" s="579"/>
    </row>
    <row r="14" spans="1:7" ht="15.75" x14ac:dyDescent="0.25">
      <c r="A14" s="580" t="s">
        <v>8</v>
      </c>
      <c r="B14" s="580"/>
      <c r="C14" s="580"/>
      <c r="D14" s="580"/>
      <c r="E14" s="580"/>
      <c r="F14" s="580"/>
    </row>
    <row r="15" spans="1:7" ht="15.75" thickBot="1" x14ac:dyDescent="0.3"/>
    <row r="16" spans="1:7" ht="32.25" thickTop="1" x14ac:dyDescent="0.25">
      <c r="A16" s="42" t="s">
        <v>56</v>
      </c>
      <c r="B16" s="43" t="s">
        <v>9</v>
      </c>
      <c r="C16" s="43" t="s">
        <v>57</v>
      </c>
      <c r="D16" s="43" t="s">
        <v>58</v>
      </c>
      <c r="E16" s="43" t="s">
        <v>59</v>
      </c>
      <c r="F16" s="43" t="s">
        <v>60</v>
      </c>
      <c r="G16" s="8" t="s">
        <v>61</v>
      </c>
    </row>
    <row r="17" spans="1:7" x14ac:dyDescent="0.25">
      <c r="A17" s="44" t="s">
        <v>62</v>
      </c>
      <c r="B17" s="45" t="s">
        <v>14</v>
      </c>
      <c r="C17" s="45"/>
      <c r="D17" s="10">
        <f>D18+D23+D32+D36+D51</f>
        <v>449554870.71000004</v>
      </c>
      <c r="E17" s="10">
        <f>E18+E23+E32+E36+E51</f>
        <v>-12992210.710000008</v>
      </c>
      <c r="F17" s="10">
        <f>F18+F23+F32+F36+F51</f>
        <v>-3686255.93</v>
      </c>
      <c r="G17" s="11">
        <f>G18+G23+G32+G36+G51</f>
        <v>432876404.06999999</v>
      </c>
    </row>
    <row r="18" spans="1:7" x14ac:dyDescent="0.25">
      <c r="A18" s="44" t="s">
        <v>63</v>
      </c>
      <c r="B18" s="45" t="s">
        <v>15</v>
      </c>
      <c r="C18" s="46"/>
      <c r="D18" s="10">
        <f>SUM(D19:D22)</f>
        <v>72789648.030000001</v>
      </c>
      <c r="E18" s="10">
        <f>SUM(E19:E22)</f>
        <v>-19392097.280000001</v>
      </c>
      <c r="F18" s="10">
        <f>SUM(F19:F22)</f>
        <v>-3686255.93</v>
      </c>
      <c r="G18" s="11">
        <f>SUM(G19:G22)</f>
        <v>49711294.82</v>
      </c>
    </row>
    <row r="19" spans="1:7" x14ac:dyDescent="0.25">
      <c r="A19" s="47" t="s">
        <v>64</v>
      </c>
      <c r="B19" s="48" t="s">
        <v>65</v>
      </c>
      <c r="C19" s="46"/>
      <c r="D19" s="13">
        <v>0</v>
      </c>
      <c r="E19" s="13">
        <f>D19</f>
        <v>0</v>
      </c>
      <c r="F19" s="13">
        <v>0</v>
      </c>
      <c r="G19" s="14">
        <v>0</v>
      </c>
    </row>
    <row r="20" spans="1:7" x14ac:dyDescent="0.25">
      <c r="A20" s="47" t="s">
        <v>66</v>
      </c>
      <c r="B20" s="48" t="s">
        <v>67</v>
      </c>
      <c r="C20" s="46"/>
      <c r="D20" s="13">
        <v>0</v>
      </c>
      <c r="E20" s="13">
        <f>D20</f>
        <v>0</v>
      </c>
      <c r="F20" s="13">
        <v>0</v>
      </c>
      <c r="G20" s="14">
        <v>0</v>
      </c>
    </row>
    <row r="21" spans="1:7" x14ac:dyDescent="0.25">
      <c r="A21" s="47" t="s">
        <v>68</v>
      </c>
      <c r="B21" s="48" t="s">
        <v>69</v>
      </c>
      <c r="C21" s="46">
        <v>1</v>
      </c>
      <c r="D21" s="13">
        <f>72789138.86+509.17</f>
        <v>72789648.030000001</v>
      </c>
      <c r="E21" s="13">
        <f>[2]Aktywa!E9-[2]nota_2_przekszt_bilans2019!D21-F21</f>
        <v>-19392097.280000001</v>
      </c>
      <c r="F21" s="13">
        <v>-3686255.93</v>
      </c>
      <c r="G21" s="14">
        <f>D21+E21+F21</f>
        <v>49711294.82</v>
      </c>
    </row>
    <row r="22" spans="1:7" x14ac:dyDescent="0.25">
      <c r="A22" s="47" t="s">
        <v>70</v>
      </c>
      <c r="B22" s="48" t="s">
        <v>71</v>
      </c>
      <c r="C22" s="46"/>
      <c r="D22" s="13">
        <v>0</v>
      </c>
      <c r="E22" s="13">
        <f t="shared" ref="E22:E85" si="0">G22-D22</f>
        <v>0</v>
      </c>
      <c r="F22" s="13">
        <v>0</v>
      </c>
      <c r="G22" s="14">
        <v>0</v>
      </c>
    </row>
    <row r="23" spans="1:7" x14ac:dyDescent="0.25">
      <c r="A23" s="44" t="s">
        <v>72</v>
      </c>
      <c r="B23" s="45" t="s">
        <v>16</v>
      </c>
      <c r="C23" s="46"/>
      <c r="D23" s="10">
        <f>D24+D30+D31</f>
        <v>340287386.29000002</v>
      </c>
      <c r="E23" s="10">
        <f t="shared" si="0"/>
        <v>6361033.5699999928</v>
      </c>
      <c r="F23" s="10">
        <f>F24+F30+F31</f>
        <v>0</v>
      </c>
      <c r="G23" s="11">
        <f>G24+G30+G31</f>
        <v>346648419.86000001</v>
      </c>
    </row>
    <row r="24" spans="1:7" x14ac:dyDescent="0.25">
      <c r="A24" s="49" t="s">
        <v>64</v>
      </c>
      <c r="B24" s="50" t="s">
        <v>73</v>
      </c>
      <c r="C24" s="51"/>
      <c r="D24" s="10">
        <f>SUM(D25:D29)</f>
        <v>299246356.06</v>
      </c>
      <c r="E24" s="10">
        <f t="shared" si="0"/>
        <v>6361033.5699999928</v>
      </c>
      <c r="F24" s="10">
        <f>SUM(F25:F29)</f>
        <v>0</v>
      </c>
      <c r="G24" s="11">
        <f>SUM(G25:G29)</f>
        <v>305607389.63</v>
      </c>
    </row>
    <row r="25" spans="1:7" x14ac:dyDescent="0.25">
      <c r="A25" s="47" t="s">
        <v>74</v>
      </c>
      <c r="B25" s="48" t="s">
        <v>75</v>
      </c>
      <c r="C25" s="46">
        <v>1</v>
      </c>
      <c r="D25" s="52">
        <v>0</v>
      </c>
      <c r="E25" s="52">
        <f t="shared" si="0"/>
        <v>6361033.5700000003</v>
      </c>
      <c r="F25" s="52">
        <v>0</v>
      </c>
      <c r="G25" s="53">
        <f>[2]Aktywa!E13</f>
        <v>6361033.5700000003</v>
      </c>
    </row>
    <row r="26" spans="1:7" x14ac:dyDescent="0.25">
      <c r="A26" s="47" t="s">
        <v>76</v>
      </c>
      <c r="B26" s="48" t="s">
        <v>77</v>
      </c>
      <c r="C26" s="46"/>
      <c r="D26" s="52">
        <f>169639289.21-4706318.69</f>
        <v>164932970.52000001</v>
      </c>
      <c r="E26" s="52">
        <f t="shared" si="0"/>
        <v>0</v>
      </c>
      <c r="F26" s="52">
        <v>0</v>
      </c>
      <c r="G26" s="53">
        <f>D26</f>
        <v>164932970.52000001</v>
      </c>
    </row>
    <row r="27" spans="1:7" x14ac:dyDescent="0.25">
      <c r="A27" s="47" t="s">
        <v>78</v>
      </c>
      <c r="B27" s="48" t="s">
        <v>79</v>
      </c>
      <c r="C27" s="46"/>
      <c r="D27" s="52">
        <f>125851101.48+1264262.12</f>
        <v>127115363.60000001</v>
      </c>
      <c r="E27" s="52">
        <f t="shared" si="0"/>
        <v>0</v>
      </c>
      <c r="F27" s="52">
        <v>0</v>
      </c>
      <c r="G27" s="53">
        <f>D27</f>
        <v>127115363.60000001</v>
      </c>
    </row>
    <row r="28" spans="1:7" x14ac:dyDescent="0.25">
      <c r="A28" s="47" t="s">
        <v>80</v>
      </c>
      <c r="B28" s="48" t="s">
        <v>81</v>
      </c>
      <c r="C28" s="46"/>
      <c r="D28" s="52">
        <f>34452.06+1175429.3</f>
        <v>1209881.3600000001</v>
      </c>
      <c r="E28" s="52">
        <f t="shared" si="0"/>
        <v>0</v>
      </c>
      <c r="F28" s="52">
        <v>0</v>
      </c>
      <c r="G28" s="53">
        <f>D28</f>
        <v>1209881.3600000001</v>
      </c>
    </row>
    <row r="29" spans="1:7" x14ac:dyDescent="0.25">
      <c r="A29" s="47" t="s">
        <v>82</v>
      </c>
      <c r="B29" s="48" t="s">
        <v>83</v>
      </c>
      <c r="C29" s="46"/>
      <c r="D29" s="52">
        <f>6340619.03-352478.45</f>
        <v>5988140.5800000001</v>
      </c>
      <c r="E29" s="52">
        <f t="shared" si="0"/>
        <v>0</v>
      </c>
      <c r="F29" s="52">
        <v>0</v>
      </c>
      <c r="G29" s="53">
        <f>D29</f>
        <v>5988140.5800000001</v>
      </c>
    </row>
    <row r="30" spans="1:7" x14ac:dyDescent="0.25">
      <c r="A30" s="44" t="s">
        <v>66</v>
      </c>
      <c r="B30" s="45" t="s">
        <v>84</v>
      </c>
      <c r="C30" s="46"/>
      <c r="D30" s="10">
        <f>41812720.23-771690</f>
        <v>41041030.229999997</v>
      </c>
      <c r="E30" s="10">
        <f t="shared" si="0"/>
        <v>0</v>
      </c>
      <c r="F30" s="10">
        <v>0</v>
      </c>
      <c r="G30" s="11">
        <f>D30</f>
        <v>41041030.229999997</v>
      </c>
    </row>
    <row r="31" spans="1:7" x14ac:dyDescent="0.25">
      <c r="A31" s="44" t="s">
        <v>68</v>
      </c>
      <c r="B31" s="45" t="s">
        <v>85</v>
      </c>
      <c r="C31" s="46"/>
      <c r="D31" s="10">
        <v>0</v>
      </c>
      <c r="E31" s="10">
        <f t="shared" si="0"/>
        <v>0</v>
      </c>
      <c r="F31" s="10">
        <v>0</v>
      </c>
      <c r="G31" s="11">
        <v>0</v>
      </c>
    </row>
    <row r="32" spans="1:7" x14ac:dyDescent="0.25">
      <c r="A32" s="44" t="s">
        <v>86</v>
      </c>
      <c r="B32" s="45" t="s">
        <v>18</v>
      </c>
      <c r="C32" s="46"/>
      <c r="D32" s="10">
        <f>D33+D34+D35</f>
        <v>189376.13</v>
      </c>
      <c r="E32" s="10">
        <f t="shared" si="0"/>
        <v>0</v>
      </c>
      <c r="F32" s="10">
        <f>F33+F34+F35</f>
        <v>0</v>
      </c>
      <c r="G32" s="11">
        <f>G33+G34+G35</f>
        <v>189376.13</v>
      </c>
    </row>
    <row r="33" spans="1:7" x14ac:dyDescent="0.25">
      <c r="A33" s="47" t="s">
        <v>64</v>
      </c>
      <c r="B33" s="48" t="s">
        <v>87</v>
      </c>
      <c r="C33" s="46"/>
      <c r="D33" s="16">
        <v>0</v>
      </c>
      <c r="E33" s="16">
        <f t="shared" si="0"/>
        <v>0</v>
      </c>
      <c r="F33" s="16">
        <v>0</v>
      </c>
      <c r="G33" s="54">
        <v>0</v>
      </c>
    </row>
    <row r="34" spans="1:7" ht="26.25" x14ac:dyDescent="0.25">
      <c r="A34" s="47" t="s">
        <v>66</v>
      </c>
      <c r="B34" s="48" t="s">
        <v>88</v>
      </c>
      <c r="C34" s="46"/>
      <c r="D34" s="16">
        <v>0</v>
      </c>
      <c r="E34" s="16">
        <f t="shared" si="0"/>
        <v>0</v>
      </c>
      <c r="F34" s="16">
        <v>0</v>
      </c>
      <c r="G34" s="54">
        <v>0</v>
      </c>
    </row>
    <row r="35" spans="1:7" x14ac:dyDescent="0.25">
      <c r="A35" s="47" t="s">
        <v>68</v>
      </c>
      <c r="B35" s="48" t="s">
        <v>89</v>
      </c>
      <c r="C35" s="46"/>
      <c r="D35" s="16">
        <f>[1]Aktywa!E23</f>
        <v>189376.13</v>
      </c>
      <c r="E35" s="16">
        <v>0</v>
      </c>
      <c r="F35" s="16">
        <v>0</v>
      </c>
      <c r="G35" s="54">
        <f>D35</f>
        <v>189376.13</v>
      </c>
    </row>
    <row r="36" spans="1:7" x14ac:dyDescent="0.25">
      <c r="A36" s="44" t="s">
        <v>90</v>
      </c>
      <c r="B36" s="45" t="s">
        <v>19</v>
      </c>
      <c r="C36" s="46"/>
      <c r="D36" s="10">
        <f>D37+D38+D39+D50</f>
        <v>0</v>
      </c>
      <c r="E36" s="10">
        <f t="shared" si="0"/>
        <v>0</v>
      </c>
      <c r="F36" s="10">
        <f>F37+F38+F39+F50</f>
        <v>0</v>
      </c>
      <c r="G36" s="11">
        <f>G37+G38+G39+G50</f>
        <v>0</v>
      </c>
    </row>
    <row r="37" spans="1:7" x14ac:dyDescent="0.25">
      <c r="A37" s="55" t="s">
        <v>64</v>
      </c>
      <c r="B37" s="56" t="s">
        <v>91</v>
      </c>
      <c r="C37" s="51"/>
      <c r="D37" s="16">
        <v>0</v>
      </c>
      <c r="E37" s="16">
        <f t="shared" si="0"/>
        <v>0</v>
      </c>
      <c r="F37" s="16">
        <v>0</v>
      </c>
      <c r="G37" s="54">
        <v>0</v>
      </c>
    </row>
    <row r="38" spans="1:7" x14ac:dyDescent="0.25">
      <c r="A38" s="55" t="s">
        <v>66</v>
      </c>
      <c r="B38" s="56" t="s">
        <v>15</v>
      </c>
      <c r="C38" s="51"/>
      <c r="D38" s="16">
        <v>0</v>
      </c>
      <c r="E38" s="16">
        <f t="shared" si="0"/>
        <v>0</v>
      </c>
      <c r="F38" s="16">
        <v>0</v>
      </c>
      <c r="G38" s="54">
        <v>0</v>
      </c>
    </row>
    <row r="39" spans="1:7" x14ac:dyDescent="0.25">
      <c r="A39" s="55" t="s">
        <v>68</v>
      </c>
      <c r="B39" s="56" t="s">
        <v>92</v>
      </c>
      <c r="C39" s="51"/>
      <c r="D39" s="16">
        <v>0</v>
      </c>
      <c r="E39" s="16">
        <v>0</v>
      </c>
      <c r="F39" s="16">
        <v>0</v>
      </c>
      <c r="G39" s="54">
        <v>0</v>
      </c>
    </row>
    <row r="40" spans="1:7" x14ac:dyDescent="0.25">
      <c r="A40" s="47" t="s">
        <v>74</v>
      </c>
      <c r="B40" s="48" t="s">
        <v>93</v>
      </c>
      <c r="C40" s="46"/>
      <c r="D40" s="10">
        <v>0</v>
      </c>
      <c r="E40" s="10">
        <f t="shared" si="0"/>
        <v>0</v>
      </c>
      <c r="F40" s="10">
        <v>0</v>
      </c>
      <c r="G40" s="11">
        <f>SUM(G41:G44)</f>
        <v>0</v>
      </c>
    </row>
    <row r="41" spans="1:7" x14ac:dyDescent="0.25">
      <c r="A41" s="47"/>
      <c r="B41" s="57" t="s">
        <v>94</v>
      </c>
      <c r="C41" s="58"/>
      <c r="D41" s="16">
        <v>0</v>
      </c>
      <c r="E41" s="16">
        <v>0</v>
      </c>
      <c r="F41" s="16">
        <v>0</v>
      </c>
      <c r="G41" s="54">
        <v>0</v>
      </c>
    </row>
    <row r="42" spans="1:7" x14ac:dyDescent="0.25">
      <c r="A42" s="47"/>
      <c r="B42" s="57" t="s">
        <v>95</v>
      </c>
      <c r="C42" s="58"/>
      <c r="D42" s="16">
        <v>0</v>
      </c>
      <c r="E42" s="16">
        <f t="shared" si="0"/>
        <v>0</v>
      </c>
      <c r="F42" s="16">
        <v>0</v>
      </c>
      <c r="G42" s="54">
        <v>0</v>
      </c>
    </row>
    <row r="43" spans="1:7" x14ac:dyDescent="0.25">
      <c r="A43" s="47"/>
      <c r="B43" s="57" t="s">
        <v>96</v>
      </c>
      <c r="C43" s="58"/>
      <c r="D43" s="13">
        <v>0</v>
      </c>
      <c r="E43" s="13">
        <f t="shared" si="0"/>
        <v>0</v>
      </c>
      <c r="F43" s="13">
        <v>0</v>
      </c>
      <c r="G43" s="14">
        <v>0</v>
      </c>
    </row>
    <row r="44" spans="1:7" x14ac:dyDescent="0.25">
      <c r="A44" s="47"/>
      <c r="B44" s="57" t="s">
        <v>97</v>
      </c>
      <c r="C44" s="58"/>
      <c r="D44" s="13">
        <v>0</v>
      </c>
      <c r="E44" s="13">
        <f t="shared" si="0"/>
        <v>0</v>
      </c>
      <c r="F44" s="13">
        <v>0</v>
      </c>
      <c r="G44" s="14">
        <v>0</v>
      </c>
    </row>
    <row r="45" spans="1:7" ht="26.25" x14ac:dyDescent="0.25">
      <c r="A45" s="47" t="s">
        <v>76</v>
      </c>
      <c r="B45" s="48" t="s">
        <v>98</v>
      </c>
      <c r="C45" s="46"/>
      <c r="D45" s="10">
        <f>SUM(D46:D49)</f>
        <v>0</v>
      </c>
      <c r="E45" s="10">
        <f t="shared" si="0"/>
        <v>0</v>
      </c>
      <c r="F45" s="10">
        <v>0</v>
      </c>
      <c r="G45" s="11">
        <f>SUM(G46:G49)</f>
        <v>0</v>
      </c>
    </row>
    <row r="46" spans="1:7" x14ac:dyDescent="0.25">
      <c r="A46" s="59"/>
      <c r="B46" s="60" t="s">
        <v>94</v>
      </c>
      <c r="C46" s="61"/>
      <c r="D46" s="62">
        <v>0</v>
      </c>
      <c r="E46" s="62">
        <f t="shared" si="0"/>
        <v>0</v>
      </c>
      <c r="F46" s="62">
        <v>0</v>
      </c>
      <c r="G46" s="63">
        <f>D46</f>
        <v>0</v>
      </c>
    </row>
    <row r="47" spans="1:7" x14ac:dyDescent="0.25">
      <c r="A47" s="59"/>
      <c r="B47" s="60" t="s">
        <v>95</v>
      </c>
      <c r="C47" s="61"/>
      <c r="D47" s="62">
        <v>0</v>
      </c>
      <c r="E47" s="62">
        <f t="shared" si="0"/>
        <v>0</v>
      </c>
      <c r="F47" s="62">
        <v>0</v>
      </c>
      <c r="G47" s="63">
        <v>0</v>
      </c>
    </row>
    <row r="48" spans="1:7" x14ac:dyDescent="0.25">
      <c r="A48" s="59"/>
      <c r="B48" s="60" t="s">
        <v>96</v>
      </c>
      <c r="C48" s="61"/>
      <c r="D48" s="64">
        <v>0</v>
      </c>
      <c r="E48" s="64">
        <f t="shared" si="0"/>
        <v>0</v>
      </c>
      <c r="F48" s="64">
        <v>0</v>
      </c>
      <c r="G48" s="63">
        <v>0</v>
      </c>
    </row>
    <row r="49" spans="1:7" x14ac:dyDescent="0.25">
      <c r="A49" s="47" t="s">
        <v>78</v>
      </c>
      <c r="B49" s="57" t="s">
        <v>99</v>
      </c>
      <c r="C49" s="58"/>
      <c r="D49" s="13">
        <v>0</v>
      </c>
      <c r="E49" s="13">
        <f t="shared" si="0"/>
        <v>0</v>
      </c>
      <c r="F49" s="13">
        <v>0</v>
      </c>
      <c r="G49" s="14">
        <v>0</v>
      </c>
    </row>
    <row r="50" spans="1:7" x14ac:dyDescent="0.25">
      <c r="A50" s="55" t="s">
        <v>70</v>
      </c>
      <c r="B50" s="56" t="s">
        <v>100</v>
      </c>
      <c r="C50" s="51"/>
      <c r="D50" s="16">
        <v>0</v>
      </c>
      <c r="E50" s="16">
        <f t="shared" si="0"/>
        <v>0</v>
      </c>
      <c r="F50" s="16">
        <v>0</v>
      </c>
      <c r="G50" s="54">
        <v>0</v>
      </c>
    </row>
    <row r="51" spans="1:7" x14ac:dyDescent="0.25">
      <c r="A51" s="44" t="s">
        <v>101</v>
      </c>
      <c r="B51" s="45" t="s">
        <v>102</v>
      </c>
      <c r="C51" s="46"/>
      <c r="D51" s="10">
        <f>D52+D53</f>
        <v>36288460.259999998</v>
      </c>
      <c r="E51" s="10">
        <f t="shared" si="0"/>
        <v>38853</v>
      </c>
      <c r="F51" s="10">
        <v>0</v>
      </c>
      <c r="G51" s="11">
        <f>G52+G53</f>
        <v>36327313.259999998</v>
      </c>
    </row>
    <row r="52" spans="1:7" x14ac:dyDescent="0.25">
      <c r="A52" s="55" t="s">
        <v>64</v>
      </c>
      <c r="B52" s="65" t="s">
        <v>103</v>
      </c>
      <c r="C52" s="51">
        <v>2</v>
      </c>
      <c r="D52" s="16">
        <f>G52-E52</f>
        <v>27307992.079999998</v>
      </c>
      <c r="E52" s="16">
        <f>32483+6370</f>
        <v>38853</v>
      </c>
      <c r="F52" s="16">
        <v>0</v>
      </c>
      <c r="G52" s="54">
        <f>[1]Aktywa!E38</f>
        <v>27346845.079999998</v>
      </c>
    </row>
    <row r="53" spans="1:7" x14ac:dyDescent="0.25">
      <c r="A53" s="55" t="s">
        <v>66</v>
      </c>
      <c r="B53" s="56" t="s">
        <v>104</v>
      </c>
      <c r="C53" s="51"/>
      <c r="D53" s="16">
        <f>8940255.7+40212.48</f>
        <v>8980468.1799999997</v>
      </c>
      <c r="E53" s="16">
        <v>0</v>
      </c>
      <c r="F53" s="16">
        <v>0</v>
      </c>
      <c r="G53" s="54">
        <f>D53</f>
        <v>8980468.1799999997</v>
      </c>
    </row>
    <row r="54" spans="1:7" x14ac:dyDescent="0.25">
      <c r="A54" s="44" t="s">
        <v>105</v>
      </c>
      <c r="B54" s="45" t="s">
        <v>22</v>
      </c>
      <c r="C54" s="46"/>
      <c r="D54" s="10">
        <f>D55+D60+D78+D87</f>
        <v>133074618.42999999</v>
      </c>
      <c r="E54" s="10">
        <f>E55+E60+E78+E87</f>
        <v>14954.179999990389</v>
      </c>
      <c r="F54" s="10">
        <v>0</v>
      </c>
      <c r="G54" s="11">
        <f>G55+G60+G78+G87</f>
        <v>133089572.61</v>
      </c>
    </row>
    <row r="55" spans="1:7" x14ac:dyDescent="0.25">
      <c r="A55" s="44" t="s">
        <v>63</v>
      </c>
      <c r="B55" s="45" t="s">
        <v>23</v>
      </c>
      <c r="C55" s="46"/>
      <c r="D55" s="10">
        <f>SUM(D56:D59)</f>
        <v>2320722.9400000004</v>
      </c>
      <c r="E55" s="10">
        <f t="shared" si="0"/>
        <v>0</v>
      </c>
      <c r="F55" s="10">
        <v>0</v>
      </c>
      <c r="G55" s="11">
        <f>SUM(G56:G59)</f>
        <v>2320722.9400000004</v>
      </c>
    </row>
    <row r="56" spans="1:7" x14ac:dyDescent="0.25">
      <c r="A56" s="47" t="s">
        <v>64</v>
      </c>
      <c r="B56" s="48" t="s">
        <v>106</v>
      </c>
      <c r="C56" s="46"/>
      <c r="D56" s="13">
        <f>[1]Aktywa!E42</f>
        <v>762705.58000000007</v>
      </c>
      <c r="E56" s="13">
        <v>0</v>
      </c>
      <c r="F56" s="13">
        <v>0</v>
      </c>
      <c r="G56" s="14">
        <f>D56</f>
        <v>762705.58000000007</v>
      </c>
    </row>
    <row r="57" spans="1:7" x14ac:dyDescent="0.25">
      <c r="A57" s="47" t="s">
        <v>66</v>
      </c>
      <c r="B57" s="48" t="s">
        <v>107</v>
      </c>
      <c r="C57" s="46"/>
      <c r="D57" s="13">
        <f>[1]Aktywa!E43</f>
        <v>1558017.36</v>
      </c>
      <c r="E57" s="13">
        <v>0</v>
      </c>
      <c r="F57" s="13">
        <v>0</v>
      </c>
      <c r="G57" s="14">
        <f>D57</f>
        <v>1558017.36</v>
      </c>
    </row>
    <row r="58" spans="1:7" x14ac:dyDescent="0.25">
      <c r="A58" s="47" t="s">
        <v>68</v>
      </c>
      <c r="B58" s="48" t="s">
        <v>108</v>
      </c>
      <c r="C58" s="46"/>
      <c r="D58" s="13">
        <f>[1]Aktywa!E44</f>
        <v>0</v>
      </c>
      <c r="E58" s="13">
        <v>0</v>
      </c>
      <c r="F58" s="13">
        <v>0</v>
      </c>
      <c r="G58" s="14">
        <f>D58</f>
        <v>0</v>
      </c>
    </row>
    <row r="59" spans="1:7" x14ac:dyDescent="0.25">
      <c r="A59" s="47" t="s">
        <v>70</v>
      </c>
      <c r="B59" s="48" t="s">
        <v>109</v>
      </c>
      <c r="C59" s="46"/>
      <c r="D59" s="13">
        <f>[1]Aktywa!E45</f>
        <v>0</v>
      </c>
      <c r="E59" s="13">
        <v>0</v>
      </c>
      <c r="F59" s="13">
        <v>0</v>
      </c>
      <c r="G59" s="14">
        <f>D59</f>
        <v>0</v>
      </c>
    </row>
    <row r="60" spans="1:7" x14ac:dyDescent="0.25">
      <c r="A60" s="44" t="s">
        <v>72</v>
      </c>
      <c r="B60" s="45" t="s">
        <v>110</v>
      </c>
      <c r="C60" s="46"/>
      <c r="D60" s="10">
        <f>D61+D71</f>
        <v>54117447.74000001</v>
      </c>
      <c r="E60" s="10">
        <f>E61+E71</f>
        <v>12510220.089999983</v>
      </c>
      <c r="F60" s="10">
        <v>0</v>
      </c>
      <c r="G60" s="11">
        <f>G61+G71</f>
        <v>66627667.829999998</v>
      </c>
    </row>
    <row r="61" spans="1:7" x14ac:dyDescent="0.25">
      <c r="A61" s="44" t="s">
        <v>64</v>
      </c>
      <c r="B61" s="45" t="s">
        <v>111</v>
      </c>
      <c r="C61" s="46"/>
      <c r="D61" s="10">
        <f>D62+D65</f>
        <v>0</v>
      </c>
      <c r="E61" s="10">
        <f t="shared" si="0"/>
        <v>0</v>
      </c>
      <c r="F61" s="10">
        <v>0</v>
      </c>
      <c r="G61" s="11">
        <f>G62+G65</f>
        <v>0</v>
      </c>
    </row>
    <row r="62" spans="1:7" x14ac:dyDescent="0.25">
      <c r="A62" s="47" t="s">
        <v>74</v>
      </c>
      <c r="B62" s="48" t="s">
        <v>112</v>
      </c>
      <c r="C62" s="46"/>
      <c r="D62" s="13">
        <f>D63+D64</f>
        <v>0</v>
      </c>
      <c r="E62" s="13">
        <f t="shared" si="0"/>
        <v>0</v>
      </c>
      <c r="F62" s="13">
        <v>0</v>
      </c>
      <c r="G62" s="14">
        <f>G63+G64</f>
        <v>0</v>
      </c>
    </row>
    <row r="63" spans="1:7" x14ac:dyDescent="0.25">
      <c r="A63" s="47"/>
      <c r="B63" s="57" t="s">
        <v>113</v>
      </c>
      <c r="C63" s="58"/>
      <c r="D63" s="13">
        <v>0</v>
      </c>
      <c r="E63" s="13">
        <v>0</v>
      </c>
      <c r="F63" s="13">
        <v>0</v>
      </c>
      <c r="G63" s="14">
        <v>0</v>
      </c>
    </row>
    <row r="64" spans="1:7" x14ac:dyDescent="0.25">
      <c r="A64" s="47"/>
      <c r="B64" s="57" t="s">
        <v>114</v>
      </c>
      <c r="C64" s="58"/>
      <c r="D64" s="13">
        <v>0</v>
      </c>
      <c r="E64" s="13">
        <f t="shared" si="0"/>
        <v>0</v>
      </c>
      <c r="F64" s="13">
        <v>0</v>
      </c>
      <c r="G64" s="14">
        <v>0</v>
      </c>
    </row>
    <row r="65" spans="1:7" x14ac:dyDescent="0.25">
      <c r="A65" s="47" t="s">
        <v>76</v>
      </c>
      <c r="B65" s="48" t="s">
        <v>115</v>
      </c>
      <c r="C65" s="46"/>
      <c r="D65" s="13">
        <v>0</v>
      </c>
      <c r="E65" s="13">
        <v>0</v>
      </c>
      <c r="F65" s="13">
        <v>0</v>
      </c>
      <c r="G65" s="14">
        <f>[2]Aktywa!E47</f>
        <v>0</v>
      </c>
    </row>
    <row r="66" spans="1:7" ht="26.25" x14ac:dyDescent="0.25">
      <c r="A66" s="44" t="s">
        <v>66</v>
      </c>
      <c r="B66" s="45" t="s">
        <v>116</v>
      </c>
      <c r="C66" s="46"/>
      <c r="D66" s="13">
        <v>0</v>
      </c>
      <c r="E66" s="13">
        <f t="shared" si="0"/>
        <v>0</v>
      </c>
      <c r="F66" s="13">
        <v>0</v>
      </c>
      <c r="G66" s="14">
        <v>0</v>
      </c>
    </row>
    <row r="67" spans="1:7" x14ac:dyDescent="0.25">
      <c r="A67" s="47" t="s">
        <v>74</v>
      </c>
      <c r="B67" s="48" t="s">
        <v>112</v>
      </c>
      <c r="C67" s="46"/>
      <c r="D67" s="13">
        <v>0</v>
      </c>
      <c r="E67" s="13">
        <f t="shared" si="0"/>
        <v>0</v>
      </c>
      <c r="F67" s="13">
        <v>0</v>
      </c>
      <c r="G67" s="14">
        <v>0</v>
      </c>
    </row>
    <row r="68" spans="1:7" x14ac:dyDescent="0.25">
      <c r="A68" s="47"/>
      <c r="B68" s="57" t="s">
        <v>113</v>
      </c>
      <c r="C68" s="58"/>
      <c r="D68" s="13">
        <v>0</v>
      </c>
      <c r="E68" s="13">
        <f t="shared" si="0"/>
        <v>0</v>
      </c>
      <c r="F68" s="13">
        <v>0</v>
      </c>
      <c r="G68" s="14">
        <v>0</v>
      </c>
    </row>
    <row r="69" spans="1:7" x14ac:dyDescent="0.25">
      <c r="A69" s="47"/>
      <c r="B69" s="57" t="s">
        <v>114</v>
      </c>
      <c r="C69" s="58"/>
      <c r="D69" s="13">
        <v>0</v>
      </c>
      <c r="E69" s="13">
        <f t="shared" si="0"/>
        <v>0</v>
      </c>
      <c r="F69" s="13">
        <v>0</v>
      </c>
      <c r="G69" s="14">
        <v>0</v>
      </c>
    </row>
    <row r="70" spans="1:7" x14ac:dyDescent="0.25">
      <c r="A70" s="47" t="s">
        <v>76</v>
      </c>
      <c r="B70" s="48" t="s">
        <v>115</v>
      </c>
      <c r="C70" s="46"/>
      <c r="D70" s="13">
        <v>0</v>
      </c>
      <c r="E70" s="13">
        <f t="shared" si="0"/>
        <v>0</v>
      </c>
      <c r="F70" s="13">
        <v>0</v>
      </c>
      <c r="G70" s="14">
        <v>0</v>
      </c>
    </row>
    <row r="71" spans="1:7" x14ac:dyDescent="0.25">
      <c r="A71" s="44" t="s">
        <v>68</v>
      </c>
      <c r="B71" s="45" t="s">
        <v>117</v>
      </c>
      <c r="C71" s="46"/>
      <c r="D71" s="10">
        <f>D72+D75+D76+D77</f>
        <v>54117447.74000001</v>
      </c>
      <c r="E71" s="10">
        <f>E72+E75+E76+E77</f>
        <v>12510220.089999983</v>
      </c>
      <c r="F71" s="10">
        <v>0</v>
      </c>
      <c r="G71" s="11">
        <f>G72+G75+G76+G77</f>
        <v>66627667.829999998</v>
      </c>
    </row>
    <row r="72" spans="1:7" x14ac:dyDescent="0.25">
      <c r="A72" s="47" t="s">
        <v>74</v>
      </c>
      <c r="B72" s="48" t="s">
        <v>112</v>
      </c>
      <c r="C72" s="46"/>
      <c r="D72" s="13">
        <f>SUM(D73:D74)</f>
        <v>50862638.150000013</v>
      </c>
      <c r="E72" s="13">
        <f>E73</f>
        <v>266822.35999998404</v>
      </c>
      <c r="F72" s="13">
        <v>0</v>
      </c>
      <c r="G72" s="14">
        <f>SUM(G73:G74)</f>
        <v>51129460.509999998</v>
      </c>
    </row>
    <row r="73" spans="1:7" x14ac:dyDescent="0.25">
      <c r="A73" s="47"/>
      <c r="B73" s="57" t="s">
        <v>113</v>
      </c>
      <c r="C73" s="58"/>
      <c r="D73" s="13">
        <f>G73-E73</f>
        <v>50862638.150000013</v>
      </c>
      <c r="E73" s="13">
        <f>[2]nota_2_przekszt_bilans2019!$E$73+[2]nota_2_przekszt_bilans2019!$E$65+[2]nota_2_przekszt_bilans2019!$E$63</f>
        <v>266822.35999998404</v>
      </c>
      <c r="F73" s="13">
        <v>0</v>
      </c>
      <c r="G73" s="14">
        <f>[1]Aktywa!E59</f>
        <v>51129460.509999998</v>
      </c>
    </row>
    <row r="74" spans="1:7" x14ac:dyDescent="0.25">
      <c r="A74" s="47"/>
      <c r="B74" s="57" t="s">
        <v>114</v>
      </c>
      <c r="C74" s="58"/>
      <c r="D74" s="13">
        <v>0</v>
      </c>
      <c r="E74" s="13">
        <f t="shared" si="0"/>
        <v>0</v>
      </c>
      <c r="F74" s="13">
        <v>0</v>
      </c>
      <c r="G74" s="14">
        <v>0</v>
      </c>
    </row>
    <row r="75" spans="1:7" ht="26.25" x14ac:dyDescent="0.25">
      <c r="A75" s="47" t="s">
        <v>76</v>
      </c>
      <c r="B75" s="48" t="s">
        <v>118</v>
      </c>
      <c r="C75" s="46">
        <v>5</v>
      </c>
      <c r="D75" s="13">
        <f>416516+16042</f>
        <v>432558</v>
      </c>
      <c r="E75" s="13">
        <f>[2]nota_2_przekszt_bilans2019!$E$75</f>
        <v>12912253.029999999</v>
      </c>
      <c r="F75" s="13">
        <v>0</v>
      </c>
      <c r="G75" s="14">
        <f>[1]Aktywa!E61</f>
        <v>13344811.029999999</v>
      </c>
    </row>
    <row r="76" spans="1:7" x14ac:dyDescent="0.25">
      <c r="A76" s="47" t="s">
        <v>78</v>
      </c>
      <c r="B76" s="48" t="s">
        <v>115</v>
      </c>
      <c r="C76" s="46"/>
      <c r="D76" s="13">
        <f>2495179.59+327072</f>
        <v>2822251.59</v>
      </c>
      <c r="E76" s="13">
        <f>[2]nota_2_przekszt_bilans2019!$E$76</f>
        <v>-668855.30000000005</v>
      </c>
      <c r="F76" s="13">
        <v>0</v>
      </c>
      <c r="G76" s="14">
        <f>[1]Aktywa!E62</f>
        <v>2153396.2899999991</v>
      </c>
    </row>
    <row r="77" spans="1:7" x14ac:dyDescent="0.25">
      <c r="A77" s="47" t="s">
        <v>80</v>
      </c>
      <c r="B77" s="48" t="s">
        <v>119</v>
      </c>
      <c r="C77" s="46"/>
      <c r="D77" s="13">
        <v>0</v>
      </c>
      <c r="E77" s="13">
        <f t="shared" si="0"/>
        <v>0</v>
      </c>
      <c r="F77" s="13">
        <v>0</v>
      </c>
      <c r="G77" s="14">
        <v>0</v>
      </c>
    </row>
    <row r="78" spans="1:7" x14ac:dyDescent="0.25">
      <c r="A78" s="44" t="s">
        <v>86</v>
      </c>
      <c r="B78" s="45" t="s">
        <v>120</v>
      </c>
      <c r="C78" s="46"/>
      <c r="D78" s="10">
        <f>D79+D86</f>
        <v>59981734.75999999</v>
      </c>
      <c r="E78" s="10">
        <f>E79+E86</f>
        <v>168323.57999999879</v>
      </c>
      <c r="F78" s="10">
        <v>0</v>
      </c>
      <c r="G78" s="11">
        <f>G79+G86</f>
        <v>60150058.340000004</v>
      </c>
    </row>
    <row r="79" spans="1:7" x14ac:dyDescent="0.25">
      <c r="A79" s="44" t="s">
        <v>64</v>
      </c>
      <c r="B79" s="45" t="s">
        <v>121</v>
      </c>
      <c r="C79" s="46"/>
      <c r="D79" s="10">
        <f>D80+D81+D82</f>
        <v>59981734.75999999</v>
      </c>
      <c r="E79" s="10">
        <f>E80+E81+E82</f>
        <v>168323.57999999879</v>
      </c>
      <c r="F79" s="10">
        <v>0</v>
      </c>
      <c r="G79" s="11">
        <f>G80+G81+G82</f>
        <v>60150058.340000004</v>
      </c>
    </row>
    <row r="80" spans="1:7" x14ac:dyDescent="0.25">
      <c r="A80" s="47" t="s">
        <v>74</v>
      </c>
      <c r="B80" s="48" t="s">
        <v>93</v>
      </c>
      <c r="C80" s="46"/>
      <c r="D80" s="13">
        <v>0</v>
      </c>
      <c r="E80" s="13">
        <f t="shared" si="0"/>
        <v>0</v>
      </c>
      <c r="F80" s="13">
        <v>0</v>
      </c>
      <c r="G80" s="14">
        <f>[2]Aktywa!E62</f>
        <v>0</v>
      </c>
    </row>
    <row r="81" spans="1:7" x14ac:dyDescent="0.25">
      <c r="A81" s="47" t="s">
        <v>76</v>
      </c>
      <c r="B81" s="48" t="s">
        <v>122</v>
      </c>
      <c r="C81" s="46"/>
      <c r="D81" s="13">
        <v>0</v>
      </c>
      <c r="E81" s="13">
        <f t="shared" si="0"/>
        <v>0</v>
      </c>
      <c r="F81" s="13">
        <v>0</v>
      </c>
      <c r="G81" s="14">
        <f>[2]Aktywa!E63</f>
        <v>0</v>
      </c>
    </row>
    <row r="82" spans="1:7" x14ac:dyDescent="0.25">
      <c r="A82" s="47" t="s">
        <v>78</v>
      </c>
      <c r="B82" s="48" t="s">
        <v>123</v>
      </c>
      <c r="C82" s="46">
        <v>3</v>
      </c>
      <c r="D82" s="13">
        <f>D83+D84</f>
        <v>59981734.75999999</v>
      </c>
      <c r="E82" s="13">
        <f>E83+E84</f>
        <v>168323.57999999879</v>
      </c>
      <c r="F82" s="13">
        <v>0</v>
      </c>
      <c r="G82" s="14">
        <f>SUM(G83:G85)</f>
        <v>60150058.340000004</v>
      </c>
    </row>
    <row r="83" spans="1:7" x14ac:dyDescent="0.25">
      <c r="A83" s="47"/>
      <c r="B83" s="57" t="s">
        <v>124</v>
      </c>
      <c r="C83" s="58"/>
      <c r="D83" s="13">
        <f>55172718.41+10823.62</f>
        <v>55183542.029999994</v>
      </c>
      <c r="E83" s="13">
        <f>[2]nota_2_przekszt_bilans2019!$E$83</f>
        <v>146022.21999999881</v>
      </c>
      <c r="F83" s="13">
        <v>0</v>
      </c>
      <c r="G83" s="14">
        <f>[1]Aktywa!E69</f>
        <v>55329564.25</v>
      </c>
    </row>
    <row r="84" spans="1:7" x14ac:dyDescent="0.25">
      <c r="A84" s="47"/>
      <c r="B84" s="57" t="s">
        <v>125</v>
      </c>
      <c r="C84" s="58"/>
      <c r="D84" s="13">
        <f>4798192.73</f>
        <v>4798192.7300000004</v>
      </c>
      <c r="E84" s="13">
        <f>[2]nota_2_przekszt_bilans2019!$E$84</f>
        <v>22301.360000000001</v>
      </c>
      <c r="F84" s="13">
        <v>0</v>
      </c>
      <c r="G84" s="14">
        <f>[1]Aktywa!E70</f>
        <v>4820494.0900000008</v>
      </c>
    </row>
    <row r="85" spans="1:7" x14ac:dyDescent="0.25">
      <c r="A85" s="47"/>
      <c r="B85" s="57" t="s">
        <v>126</v>
      </c>
      <c r="C85" s="58"/>
      <c r="D85" s="13">
        <v>0</v>
      </c>
      <c r="E85" s="13">
        <f t="shared" si="0"/>
        <v>0</v>
      </c>
      <c r="F85" s="13">
        <v>0</v>
      </c>
      <c r="G85" s="14">
        <v>0</v>
      </c>
    </row>
    <row r="86" spans="1:7" x14ac:dyDescent="0.25">
      <c r="A86" s="44" t="s">
        <v>66</v>
      </c>
      <c r="B86" s="45" t="s">
        <v>127</v>
      </c>
      <c r="C86" s="46"/>
      <c r="D86" s="10">
        <v>0</v>
      </c>
      <c r="E86" s="10">
        <f>G86-D86</f>
        <v>0</v>
      </c>
      <c r="F86" s="10">
        <v>0</v>
      </c>
      <c r="G86" s="11">
        <v>0</v>
      </c>
    </row>
    <row r="87" spans="1:7" x14ac:dyDescent="0.25">
      <c r="A87" s="44" t="s">
        <v>90</v>
      </c>
      <c r="B87" s="45" t="s">
        <v>26</v>
      </c>
      <c r="C87" s="46">
        <v>5</v>
      </c>
      <c r="D87" s="10">
        <f>16557796.52+96916.47</f>
        <v>16654712.99</v>
      </c>
      <c r="E87" s="10">
        <f>[2]nota_2_przekszt_bilans2019!$E$87</f>
        <v>-12663589.489999991</v>
      </c>
      <c r="F87" s="10">
        <v>0</v>
      </c>
      <c r="G87" s="11">
        <f>[1]Aktywa!E73</f>
        <v>3991123.5000000005</v>
      </c>
    </row>
    <row r="88" spans="1:7" x14ac:dyDescent="0.25">
      <c r="A88" s="44" t="s">
        <v>128</v>
      </c>
      <c r="B88" s="45" t="s">
        <v>27</v>
      </c>
      <c r="C88" s="46"/>
      <c r="D88" s="10">
        <v>0</v>
      </c>
      <c r="E88" s="10">
        <f>G88-D88</f>
        <v>0</v>
      </c>
      <c r="F88" s="10">
        <v>0</v>
      </c>
      <c r="G88" s="11">
        <v>0</v>
      </c>
    </row>
    <row r="89" spans="1:7" x14ac:dyDescent="0.25">
      <c r="A89" s="44" t="s">
        <v>129</v>
      </c>
      <c r="B89" s="45" t="s">
        <v>28</v>
      </c>
      <c r="C89" s="46"/>
      <c r="D89" s="10">
        <v>0</v>
      </c>
      <c r="E89" s="10">
        <f>G89-D89</f>
        <v>0</v>
      </c>
      <c r="F89" s="10">
        <v>0</v>
      </c>
      <c r="G89" s="11">
        <v>0</v>
      </c>
    </row>
    <row r="90" spans="1:7" ht="15.75" thickBot="1" x14ac:dyDescent="0.3">
      <c r="A90" s="585" t="s">
        <v>29</v>
      </c>
      <c r="B90" s="586"/>
      <c r="C90" s="66"/>
      <c r="D90" s="18">
        <f>D17+D54+D88+D89</f>
        <v>582629489.13999999</v>
      </c>
      <c r="E90" s="18">
        <f>E17+E54+E88+E89</f>
        <v>-12977256.530000018</v>
      </c>
      <c r="F90" s="18">
        <f>F17+F54+F88+F89</f>
        <v>-3686255.93</v>
      </c>
      <c r="G90" s="19">
        <f>G17+G54+G88+G89</f>
        <v>565965976.67999995</v>
      </c>
    </row>
    <row r="91" spans="1:7" ht="15.75" thickTop="1" x14ac:dyDescent="0.25"/>
    <row r="92" spans="1:7" ht="16.5" thickBot="1" x14ac:dyDescent="0.3">
      <c r="A92" s="581" t="s">
        <v>30</v>
      </c>
      <c r="B92" s="581"/>
      <c r="C92" s="581"/>
      <c r="D92" s="581"/>
      <c r="E92" s="581"/>
      <c r="F92" s="581"/>
    </row>
    <row r="93" spans="1:7" ht="32.25" thickTop="1" x14ac:dyDescent="0.25">
      <c r="A93" s="67" t="s">
        <v>56</v>
      </c>
      <c r="B93" s="68" t="s">
        <v>9</v>
      </c>
      <c r="C93" s="43" t="s">
        <v>57</v>
      </c>
      <c r="D93" s="7" t="str">
        <f>D16</f>
        <v>Stan na dzień
31.12.2019 r. wg MSR/MSSF</v>
      </c>
      <c r="E93" s="43" t="s">
        <v>59</v>
      </c>
      <c r="F93" s="43" t="s">
        <v>60</v>
      </c>
      <c r="G93" s="8" t="str">
        <f>G16</f>
        <v>Stan na dzień
31.12.2019 r. wg UoR</v>
      </c>
    </row>
    <row r="94" spans="1:7" x14ac:dyDescent="0.25">
      <c r="A94" s="69" t="s">
        <v>62</v>
      </c>
      <c r="B94" s="70" t="s">
        <v>31</v>
      </c>
      <c r="C94" s="71"/>
      <c r="D94" s="24">
        <f>D95+D101+D102</f>
        <v>468087728.60999995</v>
      </c>
      <c r="E94" s="24">
        <f>E95+E101+E102</f>
        <v>306055.26</v>
      </c>
      <c r="F94" s="24">
        <f>F95+F101+F102</f>
        <v>-3686255.9299999997</v>
      </c>
      <c r="G94" s="25">
        <f>G95+G96+G97+G98+G99+G100+G101+G102+G103</f>
        <v>464707527.94</v>
      </c>
    </row>
    <row r="95" spans="1:7" x14ac:dyDescent="0.25">
      <c r="A95" s="69" t="s">
        <v>63</v>
      </c>
      <c r="B95" s="70" t="s">
        <v>32</v>
      </c>
      <c r="C95" s="71"/>
      <c r="D95" s="24">
        <f>[3]Pasywa_31122019!C6</f>
        <v>576854559</v>
      </c>
      <c r="E95" s="24">
        <f t="shared" ref="E95:E100" si="1">G95-D95</f>
        <v>0</v>
      </c>
      <c r="F95" s="24">
        <v>0</v>
      </c>
      <c r="G95" s="25">
        <f>[3]Pasywa_31122019!D6</f>
        <v>576854559</v>
      </c>
    </row>
    <row r="96" spans="1:7" x14ac:dyDescent="0.25">
      <c r="A96" s="69" t="s">
        <v>72</v>
      </c>
      <c r="B96" s="45" t="s">
        <v>130</v>
      </c>
      <c r="C96" s="46"/>
      <c r="D96" s="24">
        <f>[3]Pasywa_31122019!C7</f>
        <v>0</v>
      </c>
      <c r="E96" s="24">
        <f t="shared" si="1"/>
        <v>0</v>
      </c>
      <c r="F96" s="24">
        <v>0</v>
      </c>
      <c r="G96" s="25">
        <f>[3]Pasywa_31122019!D7</f>
        <v>0</v>
      </c>
    </row>
    <row r="97" spans="1:7" x14ac:dyDescent="0.25">
      <c r="A97" s="69" t="s">
        <v>86</v>
      </c>
      <c r="B97" s="70" t="s">
        <v>131</v>
      </c>
      <c r="C97" s="71"/>
      <c r="D97" s="24">
        <f>[3]Pasywa_31122019!C8</f>
        <v>0</v>
      </c>
      <c r="E97" s="24">
        <f t="shared" si="1"/>
        <v>0</v>
      </c>
      <c r="F97" s="24">
        <v>0</v>
      </c>
      <c r="G97" s="25">
        <f>[3]Pasywa_31122019!D8</f>
        <v>0</v>
      </c>
    </row>
    <row r="98" spans="1:7" x14ac:dyDescent="0.25">
      <c r="A98" s="69" t="s">
        <v>90</v>
      </c>
      <c r="B98" s="70" t="s">
        <v>132</v>
      </c>
      <c r="C98" s="71"/>
      <c r="D98" s="24">
        <f>[3]Pasywa_31122019!C9</f>
        <v>0</v>
      </c>
      <c r="E98" s="24">
        <f t="shared" si="1"/>
        <v>0</v>
      </c>
      <c r="F98" s="24">
        <v>0</v>
      </c>
      <c r="G98" s="25">
        <f>[3]Pasywa_31122019!D9</f>
        <v>0</v>
      </c>
    </row>
    <row r="99" spans="1:7" x14ac:dyDescent="0.25">
      <c r="A99" s="69" t="s">
        <v>101</v>
      </c>
      <c r="B99" s="70" t="s">
        <v>133</v>
      </c>
      <c r="C99" s="71"/>
      <c r="D99" s="24">
        <f>[3]Pasywa_31122019!C10</f>
        <v>0</v>
      </c>
      <c r="E99" s="24">
        <f t="shared" si="1"/>
        <v>0</v>
      </c>
      <c r="F99" s="24">
        <v>0</v>
      </c>
      <c r="G99" s="25">
        <f>[3]Pasywa_31122019!D10</f>
        <v>0</v>
      </c>
    </row>
    <row r="100" spans="1:7" x14ac:dyDescent="0.25">
      <c r="A100" s="69" t="s">
        <v>134</v>
      </c>
      <c r="B100" s="70" t="s">
        <v>135</v>
      </c>
      <c r="C100" s="71"/>
      <c r="D100" s="24">
        <f>[3]Pasywa_31122019!C11</f>
        <v>0</v>
      </c>
      <c r="E100" s="24">
        <f t="shared" si="1"/>
        <v>0</v>
      </c>
      <c r="F100" s="24">
        <v>0</v>
      </c>
      <c r="G100" s="25">
        <f>[3]Pasywa_31122019!D11</f>
        <v>0</v>
      </c>
    </row>
    <row r="101" spans="1:7" x14ac:dyDescent="0.25">
      <c r="A101" s="69" t="s">
        <v>136</v>
      </c>
      <c r="B101" s="70" t="s">
        <v>33</v>
      </c>
      <c r="C101" s="71"/>
      <c r="D101" s="24">
        <f>[3]Pasywa_31122019!C12-395881.56</f>
        <v>-95311474.210000098</v>
      </c>
      <c r="E101" s="24">
        <v>0</v>
      </c>
      <c r="F101" s="24">
        <v>-4669255.93</v>
      </c>
      <c r="G101" s="25">
        <f>[1]Pasywa!E12</f>
        <v>-99980730.139999986</v>
      </c>
    </row>
    <row r="102" spans="1:7" x14ac:dyDescent="0.25">
      <c r="A102" s="72" t="s">
        <v>137</v>
      </c>
      <c r="B102" s="73" t="s">
        <v>34</v>
      </c>
      <c r="C102" s="74">
        <v>1</v>
      </c>
      <c r="D102" s="24">
        <f>[3]Pasywa_31122019!C13-1307088.62</f>
        <v>-13455356.179999974</v>
      </c>
      <c r="E102" s="24">
        <v>306055.26</v>
      </c>
      <c r="F102" s="24">
        <v>983000</v>
      </c>
      <c r="G102" s="33">
        <f>[1]Pasywa!E13</f>
        <v>-12166300.919999998</v>
      </c>
    </row>
    <row r="103" spans="1:7" x14ac:dyDescent="0.25">
      <c r="A103" s="69" t="s">
        <v>138</v>
      </c>
      <c r="B103" s="70" t="s">
        <v>139</v>
      </c>
      <c r="C103" s="71"/>
      <c r="D103" s="24">
        <f>[3]Pasywa_31122019!C14</f>
        <v>0</v>
      </c>
      <c r="E103" s="24">
        <f>G103-D103</f>
        <v>0</v>
      </c>
      <c r="F103" s="24">
        <v>0</v>
      </c>
      <c r="G103" s="25">
        <f>[3]Pasywa_31122019!D14</f>
        <v>0</v>
      </c>
    </row>
    <row r="104" spans="1:7" x14ac:dyDescent="0.25">
      <c r="A104" s="69" t="s">
        <v>105</v>
      </c>
      <c r="B104" s="70" t="s">
        <v>35</v>
      </c>
      <c r="C104" s="71"/>
      <c r="D104" s="24">
        <f>D105+D113+D124+D143</f>
        <v>114541760.53</v>
      </c>
      <c r="E104" s="24">
        <f>E105+E113+E124+E143</f>
        <v>-13283311.789999999</v>
      </c>
      <c r="F104" s="24">
        <f>F105+F113+F124+F143</f>
        <v>0</v>
      </c>
      <c r="G104" s="25">
        <f>G105+G113+G124+G143</f>
        <v>101258448.74000001</v>
      </c>
    </row>
    <row r="105" spans="1:7" x14ac:dyDescent="0.25">
      <c r="A105" s="72" t="s">
        <v>63</v>
      </c>
      <c r="B105" s="73" t="s">
        <v>140</v>
      </c>
      <c r="C105" s="74"/>
      <c r="D105" s="24">
        <f>D106+D107+D110</f>
        <v>13192859.57</v>
      </c>
      <c r="E105" s="24">
        <f>E106+E107+E110</f>
        <v>164513</v>
      </c>
      <c r="F105" s="24">
        <f>F106+F107+F110</f>
        <v>0</v>
      </c>
      <c r="G105" s="33">
        <f>D105+E105</f>
        <v>13357372.57</v>
      </c>
    </row>
    <row r="106" spans="1:7" x14ac:dyDescent="0.25">
      <c r="A106" s="72" t="s">
        <v>64</v>
      </c>
      <c r="B106" s="73" t="s">
        <v>141</v>
      </c>
      <c r="C106" s="74">
        <v>2</v>
      </c>
      <c r="D106" s="24">
        <f>[3]Pasywa_31122019!C17</f>
        <v>0</v>
      </c>
      <c r="E106" s="24">
        <f>G106</f>
        <v>38853</v>
      </c>
      <c r="F106" s="24">
        <v>0</v>
      </c>
      <c r="G106" s="33">
        <f>[1]Pasywa!E17</f>
        <v>38853</v>
      </c>
    </row>
    <row r="107" spans="1:7" x14ac:dyDescent="0.25">
      <c r="A107" s="72" t="s">
        <v>66</v>
      </c>
      <c r="B107" s="73" t="s">
        <v>142</v>
      </c>
      <c r="C107" s="74"/>
      <c r="D107" s="24">
        <f>D108+D109</f>
        <v>9495311.1400000006</v>
      </c>
      <c r="E107" s="24">
        <f>G107-D107</f>
        <v>0</v>
      </c>
      <c r="F107" s="24">
        <v>0</v>
      </c>
      <c r="G107" s="33">
        <f>G108+G109</f>
        <v>9495311.1400000006</v>
      </c>
    </row>
    <row r="108" spans="1:7" x14ac:dyDescent="0.25">
      <c r="A108" s="72"/>
      <c r="B108" s="75" t="s">
        <v>143</v>
      </c>
      <c r="C108" s="76"/>
      <c r="D108" s="27">
        <v>656370.9</v>
      </c>
      <c r="E108" s="27">
        <v>0</v>
      </c>
      <c r="F108" s="27">
        <v>0</v>
      </c>
      <c r="G108" s="28">
        <f>[1]Pasywa!E19</f>
        <v>656370.89999999991</v>
      </c>
    </row>
    <row r="109" spans="1:7" x14ac:dyDescent="0.25">
      <c r="A109" s="72"/>
      <c r="B109" s="75" t="s">
        <v>144</v>
      </c>
      <c r="C109" s="76"/>
      <c r="D109" s="27">
        <f>[1]Pasywa!E20</f>
        <v>8838940.2400000002</v>
      </c>
      <c r="E109" s="27">
        <v>0</v>
      </c>
      <c r="F109" s="27">
        <v>0</v>
      </c>
      <c r="G109" s="28">
        <f>[1]Pasywa!E20</f>
        <v>8838940.2400000002</v>
      </c>
    </row>
    <row r="110" spans="1:7" x14ac:dyDescent="0.25">
      <c r="A110" s="72" t="s">
        <v>68</v>
      </c>
      <c r="B110" s="73" t="s">
        <v>145</v>
      </c>
      <c r="C110" s="74"/>
      <c r="D110" s="24">
        <f>D111+D112</f>
        <v>3697548.43</v>
      </c>
      <c r="E110" s="24">
        <f>E111+E112</f>
        <v>125660</v>
      </c>
      <c r="F110" s="24">
        <f>F111+F112</f>
        <v>0</v>
      </c>
      <c r="G110" s="33">
        <f>G111+G112</f>
        <v>3823208.43</v>
      </c>
    </row>
    <row r="111" spans="1:7" x14ac:dyDescent="0.25">
      <c r="A111" s="72"/>
      <c r="B111" s="77" t="s">
        <v>146</v>
      </c>
      <c r="C111" s="78"/>
      <c r="D111" s="27">
        <f>[3]Pasywa_31122019!C22</f>
        <v>0</v>
      </c>
      <c r="E111" s="27">
        <f t="shared" ref="E111:E123" si="2">G111-D111</f>
        <v>0</v>
      </c>
      <c r="F111" s="27">
        <v>0</v>
      </c>
      <c r="G111" s="28">
        <f>[3]Pasywa_31122019!D22</f>
        <v>0</v>
      </c>
    </row>
    <row r="112" spans="1:7" x14ac:dyDescent="0.25">
      <c r="A112" s="72"/>
      <c r="B112" s="77" t="s">
        <v>147</v>
      </c>
      <c r="C112" s="78">
        <v>4</v>
      </c>
      <c r="D112" s="27">
        <f>[3]Pasywa_31122019!C23+2400000+696529.66</f>
        <v>3697548.43</v>
      </c>
      <c r="E112" s="27">
        <f>[2]nota_2_przekszt_bilans2019!$E$112</f>
        <v>125660</v>
      </c>
      <c r="F112" s="27">
        <v>0</v>
      </c>
      <c r="G112" s="28">
        <f>[1]Pasywa!E23</f>
        <v>3823208.43</v>
      </c>
    </row>
    <row r="113" spans="1:7" x14ac:dyDescent="0.25">
      <c r="A113" s="72" t="s">
        <v>72</v>
      </c>
      <c r="B113" s="73" t="s">
        <v>36</v>
      </c>
      <c r="C113" s="74"/>
      <c r="D113" s="24">
        <f>D114+D119</f>
        <v>12527771.919999998</v>
      </c>
      <c r="E113" s="24">
        <f t="shared" si="2"/>
        <v>-11901706.989999998</v>
      </c>
      <c r="F113" s="24">
        <f>F114+F119</f>
        <v>0</v>
      </c>
      <c r="G113" s="33">
        <f>G114+G119</f>
        <v>626064.93000000005</v>
      </c>
    </row>
    <row r="114" spans="1:7" x14ac:dyDescent="0.25">
      <c r="A114" s="72" t="s">
        <v>64</v>
      </c>
      <c r="B114" s="73" t="s">
        <v>148</v>
      </c>
      <c r="C114" s="74"/>
      <c r="D114" s="24">
        <f>[3]Pasywa_31122019!C25</f>
        <v>0</v>
      </c>
      <c r="E114" s="24">
        <f t="shared" si="2"/>
        <v>0</v>
      </c>
      <c r="F114" s="24">
        <v>0</v>
      </c>
      <c r="G114" s="33">
        <f>[3]Pasywa_31122019!D25</f>
        <v>0</v>
      </c>
    </row>
    <row r="115" spans="1:7" x14ac:dyDescent="0.25">
      <c r="A115" s="79" t="s">
        <v>74</v>
      </c>
      <c r="B115" s="80" t="s">
        <v>149</v>
      </c>
      <c r="C115" s="74"/>
      <c r="D115" s="27">
        <f>[3]Pasywa_31122019!C26</f>
        <v>0</v>
      </c>
      <c r="E115" s="27">
        <f t="shared" si="2"/>
        <v>0</v>
      </c>
      <c r="F115" s="27">
        <v>0</v>
      </c>
      <c r="G115" s="28">
        <f>[3]Pasywa_31122019!D26</f>
        <v>0</v>
      </c>
    </row>
    <row r="116" spans="1:7" x14ac:dyDescent="0.25">
      <c r="A116" s="79" t="s">
        <v>76</v>
      </c>
      <c r="B116" s="80" t="s">
        <v>150</v>
      </c>
      <c r="C116" s="74"/>
      <c r="D116" s="27">
        <f>[3]Pasywa_31122019!C27</f>
        <v>0</v>
      </c>
      <c r="E116" s="27">
        <f t="shared" si="2"/>
        <v>0</v>
      </c>
      <c r="F116" s="27">
        <v>0</v>
      </c>
      <c r="G116" s="28">
        <f>[3]Pasywa_31122019!D27</f>
        <v>0</v>
      </c>
    </row>
    <row r="117" spans="1:7" x14ac:dyDescent="0.25">
      <c r="A117" s="79" t="s">
        <v>78</v>
      </c>
      <c r="B117" s="80" t="s">
        <v>151</v>
      </c>
      <c r="C117" s="74"/>
      <c r="D117" s="27">
        <f>[3]Pasywa_31122019!C28</f>
        <v>0</v>
      </c>
      <c r="E117" s="27">
        <f t="shared" si="2"/>
        <v>0</v>
      </c>
      <c r="F117" s="27">
        <v>0</v>
      </c>
      <c r="G117" s="28">
        <f>[3]Pasywa_31122019!D28</f>
        <v>0</v>
      </c>
    </row>
    <row r="118" spans="1:7" x14ac:dyDescent="0.25">
      <c r="A118" s="79" t="s">
        <v>80</v>
      </c>
      <c r="B118" s="80" t="s">
        <v>115</v>
      </c>
      <c r="C118" s="74"/>
      <c r="D118" s="27">
        <f>[3]Pasywa_31122019!C29</f>
        <v>0</v>
      </c>
      <c r="E118" s="27">
        <f t="shared" si="2"/>
        <v>0</v>
      </c>
      <c r="F118" s="27">
        <v>0</v>
      </c>
      <c r="G118" s="28">
        <f>[3]Pasywa_31122019!D29</f>
        <v>0</v>
      </c>
    </row>
    <row r="119" spans="1:7" x14ac:dyDescent="0.25">
      <c r="A119" s="72" t="s">
        <v>66</v>
      </c>
      <c r="B119" s="73" t="s">
        <v>152</v>
      </c>
      <c r="C119" s="74">
        <v>1</v>
      </c>
      <c r="D119" s="24">
        <f>D120+D121+D122+D123</f>
        <v>12527771.919999998</v>
      </c>
      <c r="E119" s="24">
        <f t="shared" si="2"/>
        <v>-11901706.989999998</v>
      </c>
      <c r="F119" s="24">
        <v>0</v>
      </c>
      <c r="G119" s="33">
        <f>G120+G121+G122+G123</f>
        <v>626064.93000000005</v>
      </c>
    </row>
    <row r="120" spans="1:7" x14ac:dyDescent="0.25">
      <c r="A120" s="79" t="s">
        <v>74</v>
      </c>
      <c r="B120" s="80" t="s">
        <v>149</v>
      </c>
      <c r="C120" s="74"/>
      <c r="D120" s="27">
        <f>[3]Pasywa_31122019!C31</f>
        <v>0</v>
      </c>
      <c r="E120" s="27">
        <f t="shared" si="2"/>
        <v>0</v>
      </c>
      <c r="F120" s="27">
        <v>0</v>
      </c>
      <c r="G120" s="34">
        <f>[3]Pasywa_31122019!D31</f>
        <v>0</v>
      </c>
    </row>
    <row r="121" spans="1:7" x14ac:dyDescent="0.25">
      <c r="A121" s="79" t="s">
        <v>76</v>
      </c>
      <c r="B121" s="80" t="s">
        <v>150</v>
      </c>
      <c r="C121" s="74"/>
      <c r="D121" s="27">
        <f>[3]Pasywa_31122019!C32</f>
        <v>0</v>
      </c>
      <c r="E121" s="27">
        <f t="shared" si="2"/>
        <v>0</v>
      </c>
      <c r="F121" s="27">
        <v>0</v>
      </c>
      <c r="G121" s="34">
        <f>[3]Pasywa_31122019!D32</f>
        <v>0</v>
      </c>
    </row>
    <row r="122" spans="1:7" x14ac:dyDescent="0.25">
      <c r="A122" s="79" t="s">
        <v>78</v>
      </c>
      <c r="B122" s="80" t="s">
        <v>151</v>
      </c>
      <c r="C122" s="74"/>
      <c r="D122" s="27">
        <f>[3]Pasywa_31122019!C33+[1]Pasywa!E33</f>
        <v>12526246.919999998</v>
      </c>
      <c r="E122" s="27">
        <f t="shared" si="2"/>
        <v>-11901706.989999998</v>
      </c>
      <c r="F122" s="27">
        <v>0</v>
      </c>
      <c r="G122" s="34">
        <f>[1]Pasywa!E33</f>
        <v>624539.93000000005</v>
      </c>
    </row>
    <row r="123" spans="1:7" x14ac:dyDescent="0.25">
      <c r="A123" s="79" t="s">
        <v>80</v>
      </c>
      <c r="B123" s="80" t="s">
        <v>115</v>
      </c>
      <c r="C123" s="74"/>
      <c r="D123" s="27">
        <f>[1]Pasywa!E34</f>
        <v>1525</v>
      </c>
      <c r="E123" s="27">
        <f t="shared" si="2"/>
        <v>0</v>
      </c>
      <c r="F123" s="27">
        <v>0</v>
      </c>
      <c r="G123" s="34">
        <f>[1]Pasywa!E34</f>
        <v>1525</v>
      </c>
    </row>
    <row r="124" spans="1:7" x14ac:dyDescent="0.25">
      <c r="A124" s="72" t="s">
        <v>86</v>
      </c>
      <c r="B124" s="73" t="s">
        <v>45</v>
      </c>
      <c r="C124" s="74"/>
      <c r="D124" s="24">
        <f>D125+D130+D142</f>
        <v>61979473.760000005</v>
      </c>
      <c r="E124" s="24">
        <f>E125+E130+E142</f>
        <v>-1546117.8</v>
      </c>
      <c r="F124" s="24">
        <f>F125+F130+F142</f>
        <v>0</v>
      </c>
      <c r="G124" s="33">
        <f>G125+G130+G142</f>
        <v>60433355.960000008</v>
      </c>
    </row>
    <row r="125" spans="1:7" x14ac:dyDescent="0.25">
      <c r="A125" s="72" t="s">
        <v>64</v>
      </c>
      <c r="B125" s="73" t="s">
        <v>148</v>
      </c>
      <c r="C125" s="74"/>
      <c r="D125" s="24">
        <f>D126+D129</f>
        <v>0</v>
      </c>
      <c r="E125" s="24">
        <f>G125-D125</f>
        <v>0</v>
      </c>
      <c r="F125" s="24">
        <v>0</v>
      </c>
      <c r="G125" s="33">
        <v>0</v>
      </c>
    </row>
    <row r="126" spans="1:7" x14ac:dyDescent="0.25">
      <c r="A126" s="79" t="s">
        <v>74</v>
      </c>
      <c r="B126" s="80" t="s">
        <v>153</v>
      </c>
      <c r="C126" s="74"/>
      <c r="D126" s="27">
        <f>D127+D128</f>
        <v>0</v>
      </c>
      <c r="E126" s="27">
        <f>G126-D126</f>
        <v>0</v>
      </c>
      <c r="F126" s="27">
        <v>0</v>
      </c>
      <c r="G126" s="28">
        <v>0</v>
      </c>
    </row>
    <row r="127" spans="1:7" x14ac:dyDescent="0.25">
      <c r="A127" s="79"/>
      <c r="B127" s="75" t="s">
        <v>113</v>
      </c>
      <c r="C127" s="76"/>
      <c r="D127" s="27">
        <v>0</v>
      </c>
      <c r="E127" s="27">
        <f>G127-D127</f>
        <v>0</v>
      </c>
      <c r="F127" s="27">
        <v>0</v>
      </c>
      <c r="G127" s="34">
        <v>0</v>
      </c>
    </row>
    <row r="128" spans="1:7" x14ac:dyDescent="0.25">
      <c r="A128" s="79"/>
      <c r="B128" s="75" t="s">
        <v>114</v>
      </c>
      <c r="C128" s="76"/>
      <c r="D128" s="27">
        <f>[3]Pasywa_31122019!C39</f>
        <v>0</v>
      </c>
      <c r="E128" s="27">
        <f>G128-D128</f>
        <v>0</v>
      </c>
      <c r="F128" s="27">
        <v>0</v>
      </c>
      <c r="G128" s="34">
        <f>[3]Pasywa_31122019!D39</f>
        <v>0</v>
      </c>
    </row>
    <row r="129" spans="1:7" x14ac:dyDescent="0.25">
      <c r="A129" s="79" t="s">
        <v>76</v>
      </c>
      <c r="B129" s="80" t="s">
        <v>115</v>
      </c>
      <c r="C129" s="74"/>
      <c r="D129" s="27">
        <f>[3]Pasywa_31122019!C40</f>
        <v>0</v>
      </c>
      <c r="E129" s="27">
        <f>G129-D129</f>
        <v>0</v>
      </c>
      <c r="F129" s="27">
        <v>0</v>
      </c>
      <c r="G129" s="34">
        <f>[3]Pasywa_31122019!D40</f>
        <v>0</v>
      </c>
    </row>
    <row r="130" spans="1:7" x14ac:dyDescent="0.25">
      <c r="A130" s="72" t="s">
        <v>66</v>
      </c>
      <c r="B130" s="73" t="s">
        <v>152</v>
      </c>
      <c r="C130" s="74"/>
      <c r="D130" s="24">
        <f>D131+D132+D133+D134+D137+D138+D139+D140+D141</f>
        <v>61736222.980000004</v>
      </c>
      <c r="E130" s="24">
        <f>E131+E132+E133+E134+E137+E138+E139+E140+E141</f>
        <v>-1546117.8</v>
      </c>
      <c r="F130" s="24">
        <f>F131+F132+F133+F134+F137+F138+F139+F140+F141</f>
        <v>0</v>
      </c>
      <c r="G130" s="33">
        <f>G131+G132+G133+G134+G137+G138+G139+G140+G141</f>
        <v>60190105.180000007</v>
      </c>
    </row>
    <row r="131" spans="1:7" x14ac:dyDescent="0.25">
      <c r="A131" s="79" t="s">
        <v>74</v>
      </c>
      <c r="B131" s="80" t="s">
        <v>149</v>
      </c>
      <c r="C131" s="74"/>
      <c r="D131" s="27">
        <f>[3]Pasywa_31122019!C42</f>
        <v>0</v>
      </c>
      <c r="E131" s="27">
        <f t="shared" ref="E131:E142" si="3">G131-D131</f>
        <v>0</v>
      </c>
      <c r="F131" s="27">
        <v>0</v>
      </c>
      <c r="G131" s="34">
        <f>[3]Pasywa_31122019!D42</f>
        <v>0</v>
      </c>
    </row>
    <row r="132" spans="1:7" x14ac:dyDescent="0.25">
      <c r="A132" s="79" t="s">
        <v>76</v>
      </c>
      <c r="B132" s="80" t="s">
        <v>150</v>
      </c>
      <c r="C132" s="74"/>
      <c r="D132" s="27">
        <f>[3]Pasywa_31122019!C43</f>
        <v>0</v>
      </c>
      <c r="E132" s="27">
        <f t="shared" si="3"/>
        <v>0</v>
      </c>
      <c r="F132" s="27">
        <v>0</v>
      </c>
      <c r="G132" s="34">
        <f>[3]Pasywa_31122019!D43</f>
        <v>0</v>
      </c>
    </row>
    <row r="133" spans="1:7" x14ac:dyDescent="0.25">
      <c r="A133" s="79" t="s">
        <v>78</v>
      </c>
      <c r="B133" s="80" t="s">
        <v>151</v>
      </c>
      <c r="C133" s="74">
        <v>1</v>
      </c>
      <c r="D133" s="27">
        <f>[3]Pasywa_31122019!C44+[1]Pasywa!E44</f>
        <v>1766978.7599999998</v>
      </c>
      <c r="E133" s="27">
        <f t="shared" si="3"/>
        <v>-1435411.9799999997</v>
      </c>
      <c r="F133" s="27">
        <v>0</v>
      </c>
      <c r="G133" s="34">
        <f>[1]Pasywa!E44</f>
        <v>331566.78000000003</v>
      </c>
    </row>
    <row r="134" spans="1:7" x14ac:dyDescent="0.25">
      <c r="A134" s="79" t="s">
        <v>80</v>
      </c>
      <c r="B134" s="80" t="s">
        <v>153</v>
      </c>
      <c r="C134" s="74"/>
      <c r="D134" s="27">
        <f>D135</f>
        <v>55163994.490000002</v>
      </c>
      <c r="E134" s="27">
        <f>E135</f>
        <v>-8505.820000000298</v>
      </c>
      <c r="F134" s="27">
        <v>0</v>
      </c>
      <c r="G134" s="28">
        <f>G135</f>
        <v>55155488.670000002</v>
      </c>
    </row>
    <row r="135" spans="1:7" x14ac:dyDescent="0.25">
      <c r="A135" s="79"/>
      <c r="B135" s="75" t="s">
        <v>113</v>
      </c>
      <c r="C135" s="76"/>
      <c r="D135" s="27">
        <f>G135+8505.82</f>
        <v>55163994.490000002</v>
      </c>
      <c r="E135" s="27">
        <f>[2]nota_2_przekszt_bilans2019!$E$127</f>
        <v>-8505.820000000298</v>
      </c>
      <c r="F135" s="27">
        <v>0</v>
      </c>
      <c r="G135" s="34">
        <f>[1]Pasywa!E46</f>
        <v>55155488.670000002</v>
      </c>
    </row>
    <row r="136" spans="1:7" x14ac:dyDescent="0.25">
      <c r="A136" s="79"/>
      <c r="B136" s="75" t="s">
        <v>114</v>
      </c>
      <c r="C136" s="76"/>
      <c r="D136" s="27">
        <f>[3]Pasywa_31122019!C47</f>
        <v>0</v>
      </c>
      <c r="E136" s="27">
        <f t="shared" si="3"/>
        <v>0</v>
      </c>
      <c r="F136" s="27">
        <v>0</v>
      </c>
      <c r="G136" s="34">
        <f>[3]Pasywa_31122019!D47</f>
        <v>0</v>
      </c>
    </row>
    <row r="137" spans="1:7" x14ac:dyDescent="0.25">
      <c r="A137" s="79" t="s">
        <v>82</v>
      </c>
      <c r="B137" s="80" t="s">
        <v>154</v>
      </c>
      <c r="C137" s="74"/>
      <c r="D137" s="27">
        <f>[3]Pasywa_31122019!C48</f>
        <v>0</v>
      </c>
      <c r="E137" s="27">
        <f t="shared" si="3"/>
        <v>0</v>
      </c>
      <c r="F137" s="27">
        <v>0</v>
      </c>
      <c r="G137" s="34">
        <f>[3]Pasywa_31122019!D48</f>
        <v>0</v>
      </c>
    </row>
    <row r="138" spans="1:7" x14ac:dyDescent="0.25">
      <c r="A138" s="81" t="s">
        <v>155</v>
      </c>
      <c r="B138" s="82" t="s">
        <v>156</v>
      </c>
      <c r="C138" s="71"/>
      <c r="D138" s="27">
        <f>[3]Pasywa_31122019!C49</f>
        <v>0</v>
      </c>
      <c r="E138" s="27">
        <f t="shared" si="3"/>
        <v>0</v>
      </c>
      <c r="F138" s="27">
        <v>0</v>
      </c>
      <c r="G138" s="28">
        <f>[3]Pasywa_31122019!D49</f>
        <v>0</v>
      </c>
    </row>
    <row r="139" spans="1:7" x14ac:dyDescent="0.25">
      <c r="A139" s="81" t="s">
        <v>157</v>
      </c>
      <c r="B139" s="82" t="s">
        <v>158</v>
      </c>
      <c r="C139" s="71"/>
      <c r="D139" s="27">
        <f>[1]Pasywa!E50</f>
        <v>3645894.21</v>
      </c>
      <c r="E139" s="27">
        <f t="shared" si="3"/>
        <v>0</v>
      </c>
      <c r="F139" s="27">
        <v>0</v>
      </c>
      <c r="G139" s="28">
        <f>[1]Pasywa!E50</f>
        <v>3645894.21</v>
      </c>
    </row>
    <row r="140" spans="1:7" x14ac:dyDescent="0.25">
      <c r="A140" s="81" t="s">
        <v>159</v>
      </c>
      <c r="B140" s="82" t="s">
        <v>160</v>
      </c>
      <c r="C140" s="71"/>
      <c r="D140" s="27">
        <f>[1]Pasywa!E51</f>
        <v>877775.28</v>
      </c>
      <c r="E140" s="27">
        <f t="shared" si="3"/>
        <v>0</v>
      </c>
      <c r="F140" s="27">
        <v>0</v>
      </c>
      <c r="G140" s="28">
        <f>[1]Pasywa!E51</f>
        <v>877775.28</v>
      </c>
    </row>
    <row r="141" spans="1:7" x14ac:dyDescent="0.25">
      <c r="A141" s="81" t="s">
        <v>161</v>
      </c>
      <c r="B141" s="82" t="s">
        <v>115</v>
      </c>
      <c r="C141" s="71"/>
      <c r="D141" s="27">
        <f>[3]Pasywa_31122019!C52+18144.95</f>
        <v>281580.23999999993</v>
      </c>
      <c r="E141" s="27">
        <f>[2]nota_2_przekszt_bilans2019!$E$141</f>
        <v>-102200</v>
      </c>
      <c r="F141" s="27">
        <v>0</v>
      </c>
      <c r="G141" s="28">
        <f>[1]Pasywa!E52</f>
        <v>179380.23999999996</v>
      </c>
    </row>
    <row r="142" spans="1:7" x14ac:dyDescent="0.25">
      <c r="A142" s="72" t="s">
        <v>68</v>
      </c>
      <c r="B142" s="73" t="s">
        <v>162</v>
      </c>
      <c r="C142" s="74"/>
      <c r="D142" s="24">
        <f>G142</f>
        <v>243250.77999999988</v>
      </c>
      <c r="E142" s="24">
        <f t="shared" si="3"/>
        <v>0</v>
      </c>
      <c r="F142" s="24">
        <v>0</v>
      </c>
      <c r="G142" s="33">
        <f>[1]Pasywa!E53</f>
        <v>243250.77999999988</v>
      </c>
    </row>
    <row r="143" spans="1:7" x14ac:dyDescent="0.25">
      <c r="A143" s="69" t="s">
        <v>90</v>
      </c>
      <c r="B143" s="70" t="s">
        <v>163</v>
      </c>
      <c r="C143" s="71"/>
      <c r="D143" s="24">
        <f>D144+D145</f>
        <v>26841655.279999997</v>
      </c>
      <c r="E143" s="24">
        <f>E144+E145</f>
        <v>0</v>
      </c>
      <c r="F143" s="24">
        <f>F144+F145</f>
        <v>0</v>
      </c>
      <c r="G143" s="33">
        <f>G144+G145</f>
        <v>26841655.279999997</v>
      </c>
    </row>
    <row r="144" spans="1:7" x14ac:dyDescent="0.25">
      <c r="A144" s="81" t="s">
        <v>64</v>
      </c>
      <c r="B144" s="82" t="s">
        <v>164</v>
      </c>
      <c r="C144" s="71"/>
      <c r="D144" s="27">
        <f>[3]Pasywa_31122019!C55</f>
        <v>0</v>
      </c>
      <c r="E144" s="27">
        <f>G144-D144</f>
        <v>0</v>
      </c>
      <c r="F144" s="27">
        <v>0</v>
      </c>
      <c r="G144" s="28">
        <f>[3]Pasywa_31122019!D55</f>
        <v>0</v>
      </c>
    </row>
    <row r="145" spans="1:7" x14ac:dyDescent="0.25">
      <c r="A145" s="81" t="s">
        <v>66</v>
      </c>
      <c r="B145" s="82" t="s">
        <v>104</v>
      </c>
      <c r="C145" s="71"/>
      <c r="D145" s="27">
        <f>D146+D147</f>
        <v>26841655.279999997</v>
      </c>
      <c r="E145" s="27">
        <f>G145-D145</f>
        <v>0</v>
      </c>
      <c r="F145" s="27">
        <v>0</v>
      </c>
      <c r="G145" s="28">
        <f>G146+G147</f>
        <v>26841655.279999997</v>
      </c>
    </row>
    <row r="146" spans="1:7" x14ac:dyDescent="0.25">
      <c r="A146" s="81"/>
      <c r="B146" s="77" t="s">
        <v>146</v>
      </c>
      <c r="C146" s="78"/>
      <c r="D146" s="27">
        <f>[3]Pasywa_31122019!C57</f>
        <v>22197482.989999998</v>
      </c>
      <c r="E146" s="27">
        <f>G146-D146</f>
        <v>0</v>
      </c>
      <c r="F146" s="27">
        <v>0</v>
      </c>
      <c r="G146" s="28">
        <f>[1]Pasywa!E57</f>
        <v>22197482.989999998</v>
      </c>
    </row>
    <row r="147" spans="1:7" x14ac:dyDescent="0.25">
      <c r="A147" s="81"/>
      <c r="B147" s="77" t="s">
        <v>147</v>
      </c>
      <c r="C147" s="78"/>
      <c r="D147" s="27">
        <f>[3]Pasywa_31122019!C58+[2]ZOiS_2019!O531</f>
        <v>4644172.29</v>
      </c>
      <c r="E147" s="27">
        <f>G147-D147</f>
        <v>0</v>
      </c>
      <c r="F147" s="27">
        <v>0</v>
      </c>
      <c r="G147" s="28">
        <f>[3]Pasywa_31122019!D58+[2]ZOiS_2019!O531</f>
        <v>4644172.29</v>
      </c>
    </row>
    <row r="148" spans="1:7" ht="15.75" thickBot="1" x14ac:dyDescent="0.3">
      <c r="A148" s="83"/>
      <c r="B148" s="84" t="s">
        <v>50</v>
      </c>
      <c r="C148" s="84"/>
      <c r="D148" s="38">
        <f>D94+D104</f>
        <v>582629489.13999999</v>
      </c>
      <c r="E148" s="38">
        <f>E94+E104</f>
        <v>-12977256.529999999</v>
      </c>
      <c r="F148" s="38">
        <f>F94+F104</f>
        <v>-3686255.9299999997</v>
      </c>
      <c r="G148" s="39">
        <f>G94+G104</f>
        <v>565965976.68000007</v>
      </c>
    </row>
    <row r="149" spans="1:7" ht="15.75" thickTop="1" x14ac:dyDescent="0.25"/>
    <row r="150" spans="1:7" x14ac:dyDescent="0.25">
      <c r="D150" s="20"/>
      <c r="E150" s="20"/>
      <c r="F150" s="20"/>
    </row>
    <row r="151" spans="1:7" x14ac:dyDescent="0.25">
      <c r="A151" s="85"/>
      <c r="B151" s="85"/>
      <c r="C151" s="85"/>
      <c r="D151" s="85"/>
      <c r="E151" s="85"/>
      <c r="F151" s="85"/>
      <c r="G151" s="85"/>
    </row>
    <row r="152" spans="1:7" x14ac:dyDescent="0.25">
      <c r="D152" s="20"/>
      <c r="E152" s="20"/>
      <c r="F152" s="20"/>
      <c r="G152" s="20"/>
    </row>
    <row r="153" spans="1:7" x14ac:dyDescent="0.25">
      <c r="F153" s="20"/>
    </row>
    <row r="155" spans="1:7" x14ac:dyDescent="0.25">
      <c r="C155" s="86"/>
      <c r="D155" s="86"/>
      <c r="E155" s="86"/>
      <c r="F155" s="86"/>
      <c r="G155" s="86"/>
    </row>
    <row r="156" spans="1:7" x14ac:dyDescent="0.25">
      <c r="C156" s="87"/>
      <c r="D156" s="88"/>
      <c r="E156" s="88"/>
      <c r="F156" s="88"/>
      <c r="G156" s="88"/>
    </row>
  </sheetData>
  <mergeCells count="11">
    <mergeCell ref="A14:F14"/>
    <mergeCell ref="A90:B90"/>
    <mergeCell ref="A92:F92"/>
    <mergeCell ref="A7:F7"/>
    <mergeCell ref="A8:F8"/>
    <mergeCell ref="A11:F11"/>
    <mergeCell ref="A2:G2"/>
    <mergeCell ref="A6:E6"/>
    <mergeCell ref="A9:E9"/>
    <mergeCell ref="A10:E10"/>
    <mergeCell ref="A13:F13"/>
  </mergeCells>
  <pageMargins left="0.7" right="0.7" top="0.75" bottom="0.75" header="0.3" footer="0.3"/>
  <pageSetup paperSize="9" scale="51" orientation="portrait" r:id="rId1"/>
  <rowBreaks count="2" manualBreakCount="2">
    <brk id="90" max="6" man="1"/>
    <brk id="1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BreakPreview" zoomScale="85" zoomScaleNormal="100" zoomScaleSheetLayoutView="85" workbookViewId="0">
      <selection activeCell="A13" sqref="A13"/>
    </sheetView>
  </sheetViews>
  <sheetFormatPr defaultRowHeight="15" x14ac:dyDescent="0.25"/>
  <cols>
    <col min="1" max="1" width="3.28515625" style="490" bestFit="1" customWidth="1"/>
    <col min="2" max="2" width="50.28515625" style="490" customWidth="1"/>
    <col min="3" max="3" width="9.7109375" style="490" customWidth="1"/>
    <col min="4" max="6" width="17.28515625" style="490" customWidth="1"/>
    <col min="7" max="7" width="17.5703125" style="490" customWidth="1"/>
  </cols>
  <sheetData>
    <row r="1" spans="1:7" x14ac:dyDescent="0.25">
      <c r="A1" s="3"/>
      <c r="B1" s="3"/>
      <c r="C1" s="3"/>
      <c r="D1" s="3"/>
      <c r="E1" s="3"/>
      <c r="F1" s="3"/>
      <c r="G1" s="3"/>
    </row>
    <row r="2" spans="1:7" ht="15.75" x14ac:dyDescent="0.25">
      <c r="A2" s="1" t="s">
        <v>165</v>
      </c>
      <c r="B2" s="1"/>
      <c r="C2" s="3"/>
      <c r="D2" s="3"/>
      <c r="E2" s="3"/>
      <c r="F2" s="3"/>
      <c r="G2" s="3"/>
    </row>
    <row r="3" spans="1:7" x14ac:dyDescent="0.25">
      <c r="A3" s="588" t="s">
        <v>166</v>
      </c>
      <c r="B3" s="588"/>
      <c r="C3" s="588"/>
      <c r="D3" s="588"/>
      <c r="E3" s="588"/>
      <c r="F3" s="588"/>
      <c r="G3" s="588"/>
    </row>
    <row r="4" spans="1:7" ht="16.5" thickBot="1" x14ac:dyDescent="0.3">
      <c r="A4" s="493"/>
      <c r="B4" s="5"/>
      <c r="C4" s="5"/>
      <c r="D4" s="494"/>
      <c r="E4" s="494"/>
      <c r="F4" s="494"/>
      <c r="G4" s="494"/>
    </row>
    <row r="5" spans="1:7" ht="32.25" thickTop="1" x14ac:dyDescent="0.25">
      <c r="A5" s="42" t="s">
        <v>56</v>
      </c>
      <c r="B5" s="43" t="s">
        <v>9</v>
      </c>
      <c r="C5" s="43" t="s">
        <v>57</v>
      </c>
      <c r="D5" s="43" t="s">
        <v>167</v>
      </c>
      <c r="E5" s="43" t="s">
        <v>59</v>
      </c>
      <c r="F5" s="43" t="s">
        <v>60</v>
      </c>
      <c r="G5" s="89" t="s">
        <v>168</v>
      </c>
    </row>
    <row r="6" spans="1:7" ht="26.25" x14ac:dyDescent="0.25">
      <c r="A6" s="44" t="s">
        <v>62</v>
      </c>
      <c r="B6" s="45" t="s">
        <v>169</v>
      </c>
      <c r="C6" s="74"/>
      <c r="D6" s="495">
        <f>D8+D9</f>
        <v>379891196</v>
      </c>
      <c r="E6" s="495">
        <f>G6-D6</f>
        <v>0</v>
      </c>
      <c r="F6" s="495">
        <v>0</v>
      </c>
      <c r="G6" s="496">
        <f>G8+G9</f>
        <v>379891196</v>
      </c>
    </row>
    <row r="7" spans="1:7" x14ac:dyDescent="0.25">
      <c r="A7" s="497" t="s">
        <v>170</v>
      </c>
      <c r="B7" s="498" t="s">
        <v>171</v>
      </c>
      <c r="C7" s="74"/>
      <c r="D7" s="499">
        <v>0</v>
      </c>
      <c r="E7" s="499">
        <v>0</v>
      </c>
      <c r="F7" s="499">
        <v>0</v>
      </c>
      <c r="G7" s="496">
        <v>0</v>
      </c>
    </row>
    <row r="8" spans="1:7" x14ac:dyDescent="0.25">
      <c r="A8" s="47" t="s">
        <v>63</v>
      </c>
      <c r="B8" s="48" t="s">
        <v>172</v>
      </c>
      <c r="C8" s="74"/>
      <c r="D8" s="500">
        <f>G8</f>
        <v>369805936.72000003</v>
      </c>
      <c r="E8" s="500">
        <f>G8-D8</f>
        <v>0</v>
      </c>
      <c r="F8" s="500">
        <v>0</v>
      </c>
      <c r="G8" s="496">
        <f>'[1]RZiS-kalkulacyjny'!E6</f>
        <v>369805936.72000003</v>
      </c>
    </row>
    <row r="9" spans="1:7" x14ac:dyDescent="0.25">
      <c r="A9" s="47" t="s">
        <v>72</v>
      </c>
      <c r="B9" s="48" t="s">
        <v>173</v>
      </c>
      <c r="C9" s="74"/>
      <c r="D9" s="500">
        <f>G9</f>
        <v>10085259.279999999</v>
      </c>
      <c r="E9" s="500">
        <f>G9-D9</f>
        <v>0</v>
      </c>
      <c r="F9" s="500">
        <v>0</v>
      </c>
      <c r="G9" s="496">
        <f>'[1]RZiS-kalkulacyjny'!E7</f>
        <v>10085259.279999999</v>
      </c>
    </row>
    <row r="10" spans="1:7" x14ac:dyDescent="0.25">
      <c r="A10" s="44" t="s">
        <v>105</v>
      </c>
      <c r="B10" s="45" t="s">
        <v>174</v>
      </c>
      <c r="C10" s="74"/>
      <c r="D10" s="495">
        <f>D12+D13</f>
        <v>329357859.13</v>
      </c>
      <c r="E10" s="495">
        <f>E12+E13</f>
        <v>352377.99000000954</v>
      </c>
      <c r="F10" s="495">
        <f>F12+F13</f>
        <v>-983000</v>
      </c>
      <c r="G10" s="496">
        <f>G12+G13</f>
        <v>328727237.12</v>
      </c>
    </row>
    <row r="11" spans="1:7" x14ac:dyDescent="0.25">
      <c r="A11" s="497" t="s">
        <v>170</v>
      </c>
      <c r="B11" s="498" t="s">
        <v>175</v>
      </c>
      <c r="C11" s="74"/>
      <c r="D11" s="501">
        <v>0</v>
      </c>
      <c r="E11" s="501">
        <f>G11-D11</f>
        <v>0</v>
      </c>
      <c r="F11" s="501">
        <v>0</v>
      </c>
      <c r="G11" s="496">
        <f>'[4]RZiS-kalkulacyjny'!E9+F11</f>
        <v>0</v>
      </c>
    </row>
    <row r="12" spans="1:7" x14ac:dyDescent="0.25">
      <c r="A12" s="47" t="s">
        <v>63</v>
      </c>
      <c r="B12" s="48" t="s">
        <v>176</v>
      </c>
      <c r="C12" s="502">
        <v>1</v>
      </c>
      <c r="D12" s="500">
        <v>321223320.75</v>
      </c>
      <c r="E12" s="500">
        <f>[4]nota_2_przekszt_RZiS_kalkul!$E$12</f>
        <v>352377.99000000954</v>
      </c>
      <c r="F12" s="500">
        <v>-983000</v>
      </c>
      <c r="G12" s="503">
        <f>'[1]RZiS-kalkulacyjny'!E10</f>
        <v>320592698.74000001</v>
      </c>
    </row>
    <row r="13" spans="1:7" x14ac:dyDescent="0.25">
      <c r="A13" s="47" t="s">
        <v>72</v>
      </c>
      <c r="B13" s="48" t="s">
        <v>177</v>
      </c>
      <c r="C13" s="502"/>
      <c r="D13" s="500">
        <f>G13</f>
        <v>8134538.3799999999</v>
      </c>
      <c r="E13" s="500">
        <f>G13-D13</f>
        <v>0</v>
      </c>
      <c r="F13" s="500">
        <v>0</v>
      </c>
      <c r="G13" s="503">
        <f>'[1]RZiS-kalkulacyjny'!E11</f>
        <v>8134538.3799999999</v>
      </c>
    </row>
    <row r="14" spans="1:7" x14ac:dyDescent="0.25">
      <c r="A14" s="44" t="s">
        <v>128</v>
      </c>
      <c r="B14" s="45" t="s">
        <v>178</v>
      </c>
      <c r="C14" s="74"/>
      <c r="D14" s="495">
        <f>D6-D10</f>
        <v>50533336.870000005</v>
      </c>
      <c r="E14" s="495">
        <f>E6-E10</f>
        <v>-352377.99000000954</v>
      </c>
      <c r="F14" s="495">
        <f>F6-F10</f>
        <v>983000</v>
      </c>
      <c r="G14" s="496">
        <f>G6-G10</f>
        <v>51163958.879999995</v>
      </c>
    </row>
    <row r="15" spans="1:7" x14ac:dyDescent="0.25">
      <c r="A15" s="44" t="s">
        <v>129</v>
      </c>
      <c r="B15" s="45" t="s">
        <v>179</v>
      </c>
      <c r="C15" s="74"/>
      <c r="D15" s="495">
        <f>G15</f>
        <v>15658864.16</v>
      </c>
      <c r="E15" s="495">
        <f>G15-D15</f>
        <v>0</v>
      </c>
      <c r="F15" s="495">
        <v>0</v>
      </c>
      <c r="G15" s="496">
        <f>'[1]RZiS-kalkulacyjny'!E13</f>
        <v>15658864.16</v>
      </c>
    </row>
    <row r="16" spans="1:7" x14ac:dyDescent="0.25">
      <c r="A16" s="44" t="s">
        <v>180</v>
      </c>
      <c r="B16" s="45" t="s">
        <v>181</v>
      </c>
      <c r="C16" s="74"/>
      <c r="D16" s="495">
        <f>G16</f>
        <v>45010655.759999998</v>
      </c>
      <c r="E16" s="495">
        <f>G16-D16</f>
        <v>0</v>
      </c>
      <c r="F16" s="495">
        <v>0</v>
      </c>
      <c r="G16" s="496">
        <f>'[1]RZiS-kalkulacyjny'!E14</f>
        <v>45010655.759999998</v>
      </c>
    </row>
    <row r="17" spans="1:7" x14ac:dyDescent="0.25">
      <c r="A17" s="44" t="s">
        <v>182</v>
      </c>
      <c r="B17" s="45" t="s">
        <v>183</v>
      </c>
      <c r="C17" s="74"/>
      <c r="D17" s="495">
        <f>D14-D15-D16</f>
        <v>-10136183.04999999</v>
      </c>
      <c r="E17" s="495">
        <f>E14-E15-E16</f>
        <v>-352377.99000000954</v>
      </c>
      <c r="F17" s="495">
        <f>F14-F15-F16</f>
        <v>983000</v>
      </c>
      <c r="G17" s="496">
        <f>G14-G15-G16</f>
        <v>-9505561.0399999991</v>
      </c>
    </row>
    <row r="18" spans="1:7" x14ac:dyDescent="0.25">
      <c r="A18" s="44" t="s">
        <v>184</v>
      </c>
      <c r="B18" s="45" t="s">
        <v>185</v>
      </c>
      <c r="C18" s="74"/>
      <c r="D18" s="495">
        <f>SUM(D19:D22)</f>
        <v>8864118.0199999996</v>
      </c>
      <c r="E18" s="495">
        <v>0</v>
      </c>
      <c r="F18" s="495">
        <f>SUM(F19:F22)</f>
        <v>0</v>
      </c>
      <c r="G18" s="496">
        <f>G19+G20+G21+G22</f>
        <v>8864118.0199999996</v>
      </c>
    </row>
    <row r="19" spans="1:7" x14ac:dyDescent="0.25">
      <c r="A19" s="47" t="s">
        <v>63</v>
      </c>
      <c r="B19" s="48" t="s">
        <v>186</v>
      </c>
      <c r="C19" s="74"/>
      <c r="D19" s="500">
        <f>G19</f>
        <v>221148.12</v>
      </c>
      <c r="E19" s="500">
        <v>0</v>
      </c>
      <c r="F19" s="500">
        <v>0</v>
      </c>
      <c r="G19" s="503">
        <f>'[1]RZiS-kalkulacyjny'!E17</f>
        <v>221148.12</v>
      </c>
    </row>
    <row r="20" spans="1:7" x14ac:dyDescent="0.25">
      <c r="A20" s="47" t="s">
        <v>72</v>
      </c>
      <c r="B20" s="48" t="s">
        <v>187</v>
      </c>
      <c r="C20" s="74"/>
      <c r="D20" s="500">
        <f>G20</f>
        <v>3939560.41</v>
      </c>
      <c r="E20" s="500">
        <f>G20-D20</f>
        <v>0</v>
      </c>
      <c r="F20" s="500">
        <v>0</v>
      </c>
      <c r="G20" s="503">
        <f>'[1]RZiS-kalkulacyjny'!E18</f>
        <v>3939560.41</v>
      </c>
    </row>
    <row r="21" spans="1:7" x14ac:dyDescent="0.25">
      <c r="A21" s="47" t="s">
        <v>86</v>
      </c>
      <c r="B21" s="48" t="s">
        <v>188</v>
      </c>
      <c r="C21" s="74"/>
      <c r="D21" s="500">
        <f>G21</f>
        <v>0</v>
      </c>
      <c r="E21" s="500">
        <f>G21-D21</f>
        <v>0</v>
      </c>
      <c r="F21" s="500">
        <v>0</v>
      </c>
      <c r="G21" s="503">
        <f>'[4]RZiS-kalkulacyjny'!E19+F21</f>
        <v>0</v>
      </c>
    </row>
    <row r="22" spans="1:7" x14ac:dyDescent="0.25">
      <c r="A22" s="47" t="s">
        <v>90</v>
      </c>
      <c r="B22" s="48" t="s">
        <v>189</v>
      </c>
      <c r="C22" s="74"/>
      <c r="D22" s="500">
        <f>G22</f>
        <v>4703409.49</v>
      </c>
      <c r="E22" s="500">
        <v>0</v>
      </c>
      <c r="F22" s="500">
        <v>0</v>
      </c>
      <c r="G22" s="503">
        <f>'[1]RZiS-kalkulacyjny'!E20</f>
        <v>4703409.49</v>
      </c>
    </row>
    <row r="23" spans="1:7" x14ac:dyDescent="0.25">
      <c r="A23" s="44" t="s">
        <v>190</v>
      </c>
      <c r="B23" s="45" t="s">
        <v>191</v>
      </c>
      <c r="C23" s="74"/>
      <c r="D23" s="495">
        <f>SUM(D24:D26)</f>
        <v>14134395.309999999</v>
      </c>
      <c r="E23" s="495">
        <v>0</v>
      </c>
      <c r="F23" s="495">
        <f>SUM(F24:F26)</f>
        <v>0</v>
      </c>
      <c r="G23" s="496">
        <f>G24+G25+G26</f>
        <v>14134395.309999999</v>
      </c>
    </row>
    <row r="24" spans="1:7" x14ac:dyDescent="0.25">
      <c r="A24" s="47" t="s">
        <v>63</v>
      </c>
      <c r="B24" s="48" t="s">
        <v>192</v>
      </c>
      <c r="C24" s="502"/>
      <c r="D24" s="500">
        <f>G24</f>
        <v>762159.22</v>
      </c>
      <c r="E24" s="500">
        <f>G24-D24</f>
        <v>0</v>
      </c>
      <c r="F24" s="500">
        <v>0</v>
      </c>
      <c r="G24" s="503">
        <f>'[1]RZiS-kalkulacyjny'!E22</f>
        <v>762159.22</v>
      </c>
    </row>
    <row r="25" spans="1:7" x14ac:dyDescent="0.25">
      <c r="A25" s="47" t="s">
        <v>72</v>
      </c>
      <c r="B25" s="48" t="s">
        <v>188</v>
      </c>
      <c r="C25" s="502"/>
      <c r="D25" s="500">
        <f>G25</f>
        <v>11207656.239999998</v>
      </c>
      <c r="E25" s="500">
        <v>0</v>
      </c>
      <c r="F25" s="500">
        <v>0</v>
      </c>
      <c r="G25" s="503">
        <f>'[1]RZiS-kalkulacyjny'!E23</f>
        <v>11207656.239999998</v>
      </c>
    </row>
    <row r="26" spans="1:7" x14ac:dyDescent="0.25">
      <c r="A26" s="47" t="s">
        <v>86</v>
      </c>
      <c r="B26" s="48" t="s">
        <v>193</v>
      </c>
      <c r="C26" s="502"/>
      <c r="D26" s="500">
        <f>G26</f>
        <v>2164579.8500000006</v>
      </c>
      <c r="E26" s="500">
        <v>0</v>
      </c>
      <c r="F26" s="500">
        <v>0</v>
      </c>
      <c r="G26" s="503">
        <f>'[1]RZiS-kalkulacyjny'!E24</f>
        <v>2164579.8500000006</v>
      </c>
    </row>
    <row r="27" spans="1:7" x14ac:dyDescent="0.25">
      <c r="A27" s="44" t="s">
        <v>63</v>
      </c>
      <c r="B27" s="45" t="s">
        <v>194</v>
      </c>
      <c r="C27" s="74"/>
      <c r="D27" s="495">
        <f>D17+D18-D23</f>
        <v>-15406460.339999989</v>
      </c>
      <c r="E27" s="495">
        <f>E17+E18-E23</f>
        <v>-352377.99000000954</v>
      </c>
      <c r="F27" s="495">
        <f>F17+F18-F23</f>
        <v>983000</v>
      </c>
      <c r="G27" s="496">
        <f>G17+G18-G23</f>
        <v>-14775838.329999998</v>
      </c>
    </row>
    <row r="28" spans="1:7" x14ac:dyDescent="0.25">
      <c r="A28" s="44" t="s">
        <v>195</v>
      </c>
      <c r="B28" s="45" t="s">
        <v>196</v>
      </c>
      <c r="C28" s="74"/>
      <c r="D28" s="495">
        <f>D29+D31+D33+D35+D36</f>
        <v>669186.80000000016</v>
      </c>
      <c r="E28" s="495">
        <v>0</v>
      </c>
      <c r="F28" s="495">
        <v>0</v>
      </c>
      <c r="G28" s="496">
        <f>G31+G36</f>
        <v>669186.80000000016</v>
      </c>
    </row>
    <row r="29" spans="1:7" x14ac:dyDescent="0.25">
      <c r="A29" s="47" t="s">
        <v>63</v>
      </c>
      <c r="B29" s="48" t="s">
        <v>197</v>
      </c>
      <c r="C29" s="74"/>
      <c r="D29" s="500">
        <f>G29</f>
        <v>0</v>
      </c>
      <c r="E29" s="500">
        <f>G29-D29</f>
        <v>0</v>
      </c>
      <c r="F29" s="500">
        <v>0</v>
      </c>
      <c r="G29" s="504">
        <f>'[4]RZiS-kalkulacyjny'!E27+F29</f>
        <v>0</v>
      </c>
    </row>
    <row r="30" spans="1:7" x14ac:dyDescent="0.25">
      <c r="A30" s="497" t="s">
        <v>170</v>
      </c>
      <c r="B30" s="498" t="s">
        <v>171</v>
      </c>
      <c r="C30" s="74"/>
      <c r="D30" s="500">
        <f t="shared" ref="D30:D36" si="0">G30</f>
        <v>0</v>
      </c>
      <c r="E30" s="501">
        <f>G30-D30</f>
        <v>0</v>
      </c>
      <c r="F30" s="501">
        <v>0</v>
      </c>
      <c r="G30" s="504">
        <f>'[4]RZiS-kalkulacyjny'!E28+F30</f>
        <v>0</v>
      </c>
    </row>
    <row r="31" spans="1:7" x14ac:dyDescent="0.25">
      <c r="A31" s="47" t="s">
        <v>72</v>
      </c>
      <c r="B31" s="48" t="s">
        <v>198</v>
      </c>
      <c r="C31" s="74"/>
      <c r="D31" s="500">
        <f t="shared" si="0"/>
        <v>668538.80000000016</v>
      </c>
      <c r="E31" s="500">
        <v>0</v>
      </c>
      <c r="F31" s="500">
        <v>0</v>
      </c>
      <c r="G31" s="504">
        <f>'[1]RZiS-kalkulacyjny'!E29</f>
        <v>668538.80000000016</v>
      </c>
    </row>
    <row r="32" spans="1:7" x14ac:dyDescent="0.25">
      <c r="A32" s="497" t="s">
        <v>170</v>
      </c>
      <c r="B32" s="498" t="s">
        <v>171</v>
      </c>
      <c r="C32" s="74"/>
      <c r="D32" s="500">
        <f t="shared" si="0"/>
        <v>0</v>
      </c>
      <c r="E32" s="501">
        <f>G32-D32</f>
        <v>0</v>
      </c>
      <c r="F32" s="501">
        <v>0</v>
      </c>
      <c r="G32" s="504">
        <f>'[4]RZiS-kalkulacyjny'!E30+F32</f>
        <v>0</v>
      </c>
    </row>
    <row r="33" spans="1:7" x14ac:dyDescent="0.25">
      <c r="A33" s="47" t="s">
        <v>86</v>
      </c>
      <c r="B33" s="48" t="s">
        <v>199</v>
      </c>
      <c r="C33" s="74"/>
      <c r="D33" s="500">
        <f t="shared" si="0"/>
        <v>0</v>
      </c>
      <c r="E33" s="500">
        <f>G33-D33</f>
        <v>0</v>
      </c>
      <c r="F33" s="500">
        <v>0</v>
      </c>
      <c r="G33" s="504">
        <f>'[4]RZiS-kalkulacyjny'!E31+F33</f>
        <v>0</v>
      </c>
    </row>
    <row r="34" spans="1:7" x14ac:dyDescent="0.25">
      <c r="A34" s="497" t="s">
        <v>170</v>
      </c>
      <c r="B34" s="498" t="s">
        <v>200</v>
      </c>
      <c r="C34" s="74"/>
      <c r="D34" s="500">
        <f t="shared" si="0"/>
        <v>0</v>
      </c>
      <c r="E34" s="500">
        <f>G34-D34</f>
        <v>0</v>
      </c>
      <c r="F34" s="500">
        <v>0</v>
      </c>
      <c r="G34" s="504">
        <f>'[4]RZiS-kalkulacyjny'!E32+F34</f>
        <v>0</v>
      </c>
    </row>
    <row r="35" spans="1:7" x14ac:dyDescent="0.25">
      <c r="A35" s="47" t="s">
        <v>90</v>
      </c>
      <c r="B35" s="48" t="s">
        <v>201</v>
      </c>
      <c r="C35" s="74"/>
      <c r="D35" s="500">
        <f t="shared" si="0"/>
        <v>0</v>
      </c>
      <c r="E35" s="500">
        <f>G35-D35</f>
        <v>0</v>
      </c>
      <c r="F35" s="500">
        <v>0</v>
      </c>
      <c r="G35" s="504">
        <f>'[4]RZiS-kalkulacyjny'!E33+F35</f>
        <v>0</v>
      </c>
    </row>
    <row r="36" spans="1:7" x14ac:dyDescent="0.25">
      <c r="A36" s="47" t="s">
        <v>101</v>
      </c>
      <c r="B36" s="48" t="s">
        <v>202</v>
      </c>
      <c r="C36" s="74"/>
      <c r="D36" s="500">
        <f t="shared" si="0"/>
        <v>648</v>
      </c>
      <c r="E36" s="500">
        <v>0</v>
      </c>
      <c r="F36" s="500">
        <v>0</v>
      </c>
      <c r="G36" s="504">
        <f>'[1]RZiS-kalkulacyjny'!E34</f>
        <v>648</v>
      </c>
    </row>
    <row r="37" spans="1:7" x14ac:dyDescent="0.25">
      <c r="A37" s="44" t="s">
        <v>203</v>
      </c>
      <c r="B37" s="45" t="s">
        <v>204</v>
      </c>
      <c r="C37" s="74"/>
      <c r="D37" s="495">
        <f>D38+D40+D41+D42</f>
        <v>764658.72</v>
      </c>
      <c r="E37" s="495">
        <f>E38+E40+E41+E42</f>
        <v>-658433.25</v>
      </c>
      <c r="F37" s="495">
        <f>F38+F40+F41+F42</f>
        <v>0</v>
      </c>
      <c r="G37" s="496">
        <f>G38+G42</f>
        <v>106225.46999999997</v>
      </c>
    </row>
    <row r="38" spans="1:7" x14ac:dyDescent="0.25">
      <c r="A38" s="47" t="s">
        <v>63</v>
      </c>
      <c r="B38" s="48" t="s">
        <v>198</v>
      </c>
      <c r="C38" s="502">
        <v>1</v>
      </c>
      <c r="D38" s="500">
        <v>712448.15</v>
      </c>
      <c r="E38" s="500">
        <f>[4]nota_2_przekszt_RZiS_kalkul!$E$38</f>
        <v>-658433.25</v>
      </c>
      <c r="F38" s="500">
        <v>0</v>
      </c>
      <c r="G38" s="503">
        <f>'[1]RZiS-kalkulacyjny'!E36</f>
        <v>54014.900000000074</v>
      </c>
    </row>
    <row r="39" spans="1:7" x14ac:dyDescent="0.25">
      <c r="A39" s="497" t="s">
        <v>170</v>
      </c>
      <c r="B39" s="498" t="s">
        <v>205</v>
      </c>
      <c r="C39" s="502"/>
      <c r="D39" s="501">
        <v>0</v>
      </c>
      <c r="E39" s="501">
        <v>0</v>
      </c>
      <c r="F39" s="501">
        <v>0</v>
      </c>
      <c r="G39" s="503">
        <f>'[4]RZiS-kalkulacyjny'!E37+F39</f>
        <v>0</v>
      </c>
    </row>
    <row r="40" spans="1:7" x14ac:dyDescent="0.25">
      <c r="A40" s="47" t="s">
        <v>72</v>
      </c>
      <c r="B40" s="48" t="s">
        <v>206</v>
      </c>
      <c r="C40" s="502"/>
      <c r="D40" s="500">
        <v>0</v>
      </c>
      <c r="E40" s="500">
        <f>G40-D40</f>
        <v>0</v>
      </c>
      <c r="F40" s="500">
        <v>0</v>
      </c>
      <c r="G40" s="503">
        <f>'[4]RZiS-kalkulacyjny'!E38+F40</f>
        <v>0</v>
      </c>
    </row>
    <row r="41" spans="1:7" x14ac:dyDescent="0.25">
      <c r="A41" s="47" t="s">
        <v>86</v>
      </c>
      <c r="B41" s="48" t="s">
        <v>207</v>
      </c>
      <c r="C41" s="502"/>
      <c r="D41" s="500">
        <v>0</v>
      </c>
      <c r="E41" s="500">
        <f>G41-D41</f>
        <v>0</v>
      </c>
      <c r="F41" s="500">
        <v>0</v>
      </c>
      <c r="G41" s="503">
        <f>'[4]RZiS-kalkulacyjny'!E39+F41</f>
        <v>0</v>
      </c>
    </row>
    <row r="42" spans="1:7" x14ac:dyDescent="0.25">
      <c r="A42" s="47" t="s">
        <v>90</v>
      </c>
      <c r="B42" s="48" t="s">
        <v>202</v>
      </c>
      <c r="C42" s="502"/>
      <c r="D42" s="500">
        <v>52210.57</v>
      </c>
      <c r="E42" s="500">
        <v>0</v>
      </c>
      <c r="F42" s="500"/>
      <c r="G42" s="503">
        <f>'[1]RZiS-kalkulacyjny'!E40</f>
        <v>52210.569999999891</v>
      </c>
    </row>
    <row r="43" spans="1:7" x14ac:dyDescent="0.25">
      <c r="A43" s="44" t="s">
        <v>208</v>
      </c>
      <c r="B43" s="45" t="s">
        <v>209</v>
      </c>
      <c r="C43" s="74"/>
      <c r="D43" s="495">
        <f>D27+D28-D37</f>
        <v>-15501932.259999989</v>
      </c>
      <c r="E43" s="495">
        <f>E27+E28-E37</f>
        <v>306055.25999999046</v>
      </c>
      <c r="F43" s="495">
        <f>F27+F28-F37</f>
        <v>983000</v>
      </c>
      <c r="G43" s="496">
        <f>G27+G28-G37</f>
        <v>-14212876.999999998</v>
      </c>
    </row>
    <row r="44" spans="1:7" x14ac:dyDescent="0.25">
      <c r="A44" s="44" t="s">
        <v>210</v>
      </c>
      <c r="B44" s="45" t="s">
        <v>211</v>
      </c>
      <c r="C44" s="74"/>
      <c r="D44" s="495">
        <f>G44</f>
        <v>-2046576.08</v>
      </c>
      <c r="E44" s="495">
        <v>0</v>
      </c>
      <c r="F44" s="495">
        <v>0</v>
      </c>
      <c r="G44" s="496">
        <f>'[1]RZiS-kalkulacyjny'!E42</f>
        <v>-2046576.08</v>
      </c>
    </row>
    <row r="45" spans="1:7" ht="26.25" x14ac:dyDescent="0.25">
      <c r="A45" s="44" t="s">
        <v>212</v>
      </c>
      <c r="B45" s="45" t="s">
        <v>213</v>
      </c>
      <c r="C45" s="74"/>
      <c r="D45" s="495">
        <f>'[4]RZiS - porownawczy'!D54</f>
        <v>0</v>
      </c>
      <c r="E45" s="495">
        <f>G45-D45</f>
        <v>0</v>
      </c>
      <c r="F45" s="495">
        <v>0</v>
      </c>
      <c r="G45" s="496">
        <f>'[4]RZiS-kalkulacyjny'!E43+F45</f>
        <v>0</v>
      </c>
    </row>
    <row r="46" spans="1:7" ht="15.75" thickBot="1" x14ac:dyDescent="0.3">
      <c r="A46" s="505" t="s">
        <v>214</v>
      </c>
      <c r="B46" s="506" t="s">
        <v>215</v>
      </c>
      <c r="C46" s="506"/>
      <c r="D46" s="507">
        <f>D43-D44-D45</f>
        <v>-13455356.179999989</v>
      </c>
      <c r="E46" s="507">
        <f>E43-E44-E45</f>
        <v>306055.25999999046</v>
      </c>
      <c r="F46" s="507">
        <f>F43-F44-F45</f>
        <v>983000</v>
      </c>
      <c r="G46" s="508">
        <f>G43-G44-G45</f>
        <v>-12166300.919999998</v>
      </c>
    </row>
    <row r="47" spans="1:7" ht="15.75" thickTop="1" x14ac:dyDescent="0.25"/>
    <row r="48" spans="1:7" x14ac:dyDescent="0.25">
      <c r="D48" s="491"/>
      <c r="E48" s="491"/>
      <c r="F48" s="491"/>
    </row>
    <row r="51" spans="4:7" x14ac:dyDescent="0.25">
      <c r="D51" s="491"/>
      <c r="E51" s="491"/>
      <c r="F51" s="491"/>
      <c r="G51" s="491"/>
    </row>
  </sheetData>
  <mergeCells count="1">
    <mergeCell ref="A3:G3"/>
  </mergeCells>
  <pageMargins left="0.7" right="0.7" top="0.75" bottom="0.75" header="0.3" footer="0.3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topLeftCell="A4" zoomScale="85" zoomScaleNormal="100" zoomScaleSheetLayoutView="85" workbookViewId="0">
      <selection activeCell="A13" sqref="A13"/>
    </sheetView>
  </sheetViews>
  <sheetFormatPr defaultRowHeight="15" x14ac:dyDescent="0.25"/>
  <cols>
    <col min="1" max="1" width="5.140625" customWidth="1"/>
    <col min="2" max="2" width="34.140625" bestFit="1" customWidth="1"/>
    <col min="3" max="9" width="17.7109375" customWidth="1"/>
  </cols>
  <sheetData>
    <row r="1" spans="1:9" ht="15.75" x14ac:dyDescent="0.25">
      <c r="A1" s="583" t="s">
        <v>216</v>
      </c>
      <c r="B1" s="583"/>
      <c r="C1" s="583"/>
      <c r="D1" s="583"/>
      <c r="E1" s="583"/>
      <c r="F1" s="583"/>
      <c r="G1" s="583"/>
      <c r="H1" s="90"/>
      <c r="I1" s="90"/>
    </row>
    <row r="2" spans="1:9" ht="15.75" x14ac:dyDescent="0.25">
      <c r="A2" s="591" t="s">
        <v>217</v>
      </c>
      <c r="B2" s="591"/>
      <c r="C2" s="591"/>
      <c r="D2" s="591"/>
      <c r="E2" s="591"/>
      <c r="F2" s="591"/>
      <c r="G2" s="591"/>
      <c r="H2" s="591"/>
      <c r="I2" s="591"/>
    </row>
    <row r="3" spans="1:9" ht="16.5" thickBot="1" x14ac:dyDescent="0.3">
      <c r="A3" s="91"/>
      <c r="B3" s="91"/>
      <c r="C3" s="91"/>
      <c r="D3" s="91"/>
      <c r="E3" s="91"/>
      <c r="F3" s="91"/>
      <c r="G3" s="91"/>
      <c r="H3" s="91"/>
      <c r="I3" s="91"/>
    </row>
    <row r="4" spans="1:9" ht="15.75" thickTop="1" x14ac:dyDescent="0.25">
      <c r="A4" s="592" t="s">
        <v>56</v>
      </c>
      <c r="B4" s="594" t="s">
        <v>9</v>
      </c>
      <c r="C4" s="594" t="s">
        <v>65</v>
      </c>
      <c r="D4" s="594" t="s">
        <v>67</v>
      </c>
      <c r="E4" s="596" t="s">
        <v>218</v>
      </c>
      <c r="F4" s="596" t="s">
        <v>219</v>
      </c>
      <c r="G4" s="594" t="s">
        <v>202</v>
      </c>
      <c r="H4" s="596" t="s">
        <v>220</v>
      </c>
      <c r="I4" s="589" t="s">
        <v>221</v>
      </c>
    </row>
    <row r="5" spans="1:9" ht="44.25" customHeight="1" x14ac:dyDescent="0.25">
      <c r="A5" s="593"/>
      <c r="B5" s="595"/>
      <c r="C5" s="595"/>
      <c r="D5" s="595"/>
      <c r="E5" s="597"/>
      <c r="F5" s="597"/>
      <c r="G5" s="595"/>
      <c r="H5" s="597"/>
      <c r="I5" s="590"/>
    </row>
    <row r="6" spans="1:9" x14ac:dyDescent="0.25">
      <c r="A6" s="92"/>
      <c r="B6" s="93" t="s">
        <v>222</v>
      </c>
      <c r="C6" s="94"/>
      <c r="D6" s="94"/>
      <c r="E6" s="94"/>
      <c r="F6" s="94"/>
      <c r="G6" s="94"/>
      <c r="H6" s="94"/>
      <c r="I6" s="95"/>
    </row>
    <row r="7" spans="1:9" x14ac:dyDescent="0.25">
      <c r="A7" s="96" t="s">
        <v>64</v>
      </c>
      <c r="B7" s="94" t="s">
        <v>223</v>
      </c>
      <c r="C7" s="97">
        <v>0</v>
      </c>
      <c r="D7" s="97">
        <v>48583418.670000002</v>
      </c>
      <c r="E7" s="97">
        <v>32053999.530000001</v>
      </c>
      <c r="F7" s="97">
        <v>33906484.480000004</v>
      </c>
      <c r="G7" s="97">
        <f>218829590.82+509.17-19660031.57</f>
        <v>199170068.41999999</v>
      </c>
      <c r="H7" s="97">
        <v>1184648.7200000011</v>
      </c>
      <c r="I7" s="98">
        <f>SUM(C7:H7)</f>
        <v>314898619.82000005</v>
      </c>
    </row>
    <row r="8" spans="1:9" x14ac:dyDescent="0.25">
      <c r="A8" s="96" t="s">
        <v>66</v>
      </c>
      <c r="B8" s="94" t="s">
        <v>224</v>
      </c>
      <c r="C8" s="97"/>
      <c r="D8" s="97"/>
      <c r="E8" s="97">
        <f>498148.37-2597008.5</f>
        <v>-2098860.13</v>
      </c>
      <c r="F8" s="97">
        <f>4778377.3+2597008.5</f>
        <v>7375385.7999999998</v>
      </c>
      <c r="G8" s="97"/>
      <c r="H8" s="97"/>
      <c r="I8" s="98">
        <f t="shared" ref="I8:I18" si="0">SUM(C8:H8)</f>
        <v>5276525.67</v>
      </c>
    </row>
    <row r="9" spans="1:9" x14ac:dyDescent="0.25">
      <c r="A9" s="96" t="s">
        <v>68</v>
      </c>
      <c r="B9" s="94" t="s">
        <v>225</v>
      </c>
      <c r="C9" s="97">
        <f t="shared" ref="C9:H9" si="1">SUM(C10:C11)</f>
        <v>0</v>
      </c>
      <c r="D9" s="97">
        <f t="shared" si="1"/>
        <v>0</v>
      </c>
      <c r="E9" s="97">
        <f t="shared" si="1"/>
        <v>901408.39</v>
      </c>
      <c r="F9" s="97">
        <f t="shared" si="1"/>
        <v>1256353.92</v>
      </c>
      <c r="G9" s="97">
        <f t="shared" si="1"/>
        <v>144066.75</v>
      </c>
      <c r="H9" s="97">
        <f t="shared" si="1"/>
        <v>1290744.3500000001</v>
      </c>
      <c r="I9" s="98">
        <f t="shared" si="0"/>
        <v>3592573.41</v>
      </c>
    </row>
    <row r="10" spans="1:9" x14ac:dyDescent="0.25">
      <c r="A10" s="99" t="s">
        <v>74</v>
      </c>
      <c r="B10" s="100" t="s">
        <v>226</v>
      </c>
      <c r="C10" s="101">
        <v>0</v>
      </c>
      <c r="D10" s="101">
        <v>0</v>
      </c>
      <c r="E10" s="101">
        <v>0</v>
      </c>
      <c r="F10" s="101">
        <v>0</v>
      </c>
      <c r="G10" s="101">
        <v>0</v>
      </c>
      <c r="H10" s="101">
        <v>3592573.41</v>
      </c>
      <c r="I10" s="102">
        <f t="shared" si="0"/>
        <v>3592573.41</v>
      </c>
    </row>
    <row r="11" spans="1:9" x14ac:dyDescent="0.25">
      <c r="A11" s="99" t="s">
        <v>76</v>
      </c>
      <c r="B11" s="100" t="s">
        <v>227</v>
      </c>
      <c r="C11" s="101">
        <v>0</v>
      </c>
      <c r="D11" s="101">
        <v>0</v>
      </c>
      <c r="E11" s="101">
        <v>901408.39</v>
      </c>
      <c r="F11" s="101">
        <v>1256353.92</v>
      </c>
      <c r="G11" s="101">
        <v>144066.75</v>
      </c>
      <c r="H11" s="101">
        <v>-2301829.06</v>
      </c>
      <c r="I11" s="102">
        <f t="shared" si="0"/>
        <v>0</v>
      </c>
    </row>
    <row r="12" spans="1:9" x14ac:dyDescent="0.25">
      <c r="A12" s="96" t="s">
        <v>70</v>
      </c>
      <c r="B12" s="94" t="s">
        <v>231</v>
      </c>
      <c r="C12" s="97">
        <f t="shared" ref="C12:H12" si="2">SUM(C13:C18)</f>
        <v>0</v>
      </c>
      <c r="D12" s="97">
        <f t="shared" si="2"/>
        <v>0</v>
      </c>
      <c r="E12" s="97">
        <f t="shared" si="2"/>
        <v>0</v>
      </c>
      <c r="F12" s="97">
        <f t="shared" si="2"/>
        <v>0</v>
      </c>
      <c r="G12" s="97">
        <f t="shared" si="2"/>
        <v>0</v>
      </c>
      <c r="H12" s="97">
        <f t="shared" si="2"/>
        <v>0</v>
      </c>
      <c r="I12" s="102">
        <f t="shared" si="0"/>
        <v>0</v>
      </c>
    </row>
    <row r="13" spans="1:9" hidden="1" x14ac:dyDescent="0.25">
      <c r="A13" s="99" t="s">
        <v>74</v>
      </c>
      <c r="B13" s="100" t="s">
        <v>232</v>
      </c>
      <c r="C13" s="101">
        <v>0</v>
      </c>
      <c r="D13" s="101">
        <v>0</v>
      </c>
      <c r="E13" s="101">
        <v>0</v>
      </c>
      <c r="F13" s="101">
        <v>0</v>
      </c>
      <c r="G13" s="101">
        <v>0</v>
      </c>
      <c r="H13" s="101">
        <v>0</v>
      </c>
      <c r="I13" s="102">
        <f t="shared" si="0"/>
        <v>0</v>
      </c>
    </row>
    <row r="14" spans="1:9" hidden="1" x14ac:dyDescent="0.25">
      <c r="A14" s="99" t="s">
        <v>76</v>
      </c>
      <c r="B14" s="100" t="s">
        <v>233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 s="101">
        <v>0</v>
      </c>
      <c r="I14" s="102">
        <f t="shared" si="0"/>
        <v>0</v>
      </c>
    </row>
    <row r="15" spans="1:9" hidden="1" x14ac:dyDescent="0.25">
      <c r="A15" s="99" t="s">
        <v>78</v>
      </c>
      <c r="B15" s="100" t="s">
        <v>228</v>
      </c>
      <c r="C15" s="101"/>
      <c r="D15" s="101"/>
      <c r="E15" s="101"/>
      <c r="F15" s="101"/>
      <c r="G15" s="101"/>
      <c r="H15" s="101"/>
      <c r="I15" s="102">
        <f t="shared" si="0"/>
        <v>0</v>
      </c>
    </row>
    <row r="16" spans="1:9" hidden="1" x14ac:dyDescent="0.25">
      <c r="A16" s="99" t="s">
        <v>80</v>
      </c>
      <c r="B16" s="100" t="s">
        <v>229</v>
      </c>
      <c r="C16" s="101"/>
      <c r="D16" s="101"/>
      <c r="E16" s="101"/>
      <c r="F16" s="101"/>
      <c r="G16" s="101"/>
      <c r="H16" s="101"/>
      <c r="I16" s="102">
        <f t="shared" si="0"/>
        <v>0</v>
      </c>
    </row>
    <row r="17" spans="1:9" hidden="1" x14ac:dyDescent="0.25">
      <c r="A17" s="99" t="s">
        <v>82</v>
      </c>
      <c r="B17" s="100" t="s">
        <v>230</v>
      </c>
      <c r="C17" s="101"/>
      <c r="D17" s="101"/>
      <c r="E17" s="101"/>
      <c r="F17" s="101"/>
      <c r="G17" s="101"/>
      <c r="H17" s="101"/>
      <c r="I17" s="102">
        <f t="shared" si="0"/>
        <v>0</v>
      </c>
    </row>
    <row r="18" spans="1:9" hidden="1" x14ac:dyDescent="0.25">
      <c r="A18" s="99" t="s">
        <v>155</v>
      </c>
      <c r="B18" s="100" t="s">
        <v>115</v>
      </c>
      <c r="C18" s="101"/>
      <c r="D18" s="101"/>
      <c r="E18" s="101"/>
      <c r="F18" s="101"/>
      <c r="G18" s="101"/>
      <c r="H18" s="101"/>
      <c r="I18" s="102">
        <f t="shared" si="0"/>
        <v>0</v>
      </c>
    </row>
    <row r="19" spans="1:9" x14ac:dyDescent="0.25">
      <c r="A19" s="96" t="s">
        <v>234</v>
      </c>
      <c r="B19" s="94" t="s">
        <v>235</v>
      </c>
      <c r="C19" s="97">
        <f t="shared" ref="C19:I19" si="3">C7+C8+C9-C12</f>
        <v>0</v>
      </c>
      <c r="D19" s="97">
        <f t="shared" si="3"/>
        <v>48583418.670000002</v>
      </c>
      <c r="E19" s="97">
        <f t="shared" si="3"/>
        <v>30856547.790000003</v>
      </c>
      <c r="F19" s="97">
        <f t="shared" si="3"/>
        <v>42538224.200000003</v>
      </c>
      <c r="G19" s="97">
        <f t="shared" si="3"/>
        <v>199314135.16999999</v>
      </c>
      <c r="H19" s="97">
        <f t="shared" si="3"/>
        <v>2475393.0700000012</v>
      </c>
      <c r="I19" s="98">
        <f t="shared" si="3"/>
        <v>323767718.9000001</v>
      </c>
    </row>
    <row r="20" spans="1:9" x14ac:dyDescent="0.25">
      <c r="A20" s="96"/>
      <c r="B20" s="103" t="s">
        <v>236</v>
      </c>
      <c r="C20" s="97"/>
      <c r="D20" s="97"/>
      <c r="E20" s="97"/>
      <c r="F20" s="97"/>
      <c r="G20" s="97"/>
      <c r="H20" s="97"/>
      <c r="I20" s="98"/>
    </row>
    <row r="21" spans="1:9" x14ac:dyDescent="0.25">
      <c r="A21" s="96" t="s">
        <v>237</v>
      </c>
      <c r="B21" s="94" t="s">
        <v>223</v>
      </c>
      <c r="C21" s="97">
        <v>0</v>
      </c>
      <c r="D21" s="97">
        <v>48583418.670000002</v>
      </c>
      <c r="E21" s="97">
        <v>25715372.220000003</v>
      </c>
      <c r="F21" s="97">
        <v>28444520.379999999</v>
      </c>
      <c r="G21" s="97">
        <f>178417789.37-15973775.64</f>
        <v>162444013.73000002</v>
      </c>
      <c r="H21" s="97">
        <v>0</v>
      </c>
      <c r="I21" s="98">
        <f>SUM(C21:H21)</f>
        <v>265187325</v>
      </c>
    </row>
    <row r="22" spans="1:9" x14ac:dyDescent="0.25">
      <c r="A22" s="96" t="s">
        <v>238</v>
      </c>
      <c r="B22" s="94" t="s">
        <v>224</v>
      </c>
      <c r="C22" s="97"/>
      <c r="D22" s="97"/>
      <c r="E22" s="97">
        <f>498148.37-2597008.5</f>
        <v>-2098860.13</v>
      </c>
      <c r="F22" s="97">
        <f>4778377.3+2597008.5</f>
        <v>7375385.7999999998</v>
      </c>
      <c r="G22" s="97"/>
      <c r="H22" s="97"/>
      <c r="I22" s="98">
        <f>SUM(C22:H22)</f>
        <v>5276525.67</v>
      </c>
    </row>
    <row r="23" spans="1:9" x14ac:dyDescent="0.25">
      <c r="A23" s="96" t="s">
        <v>239</v>
      </c>
      <c r="B23" s="94" t="s">
        <v>225</v>
      </c>
      <c r="C23" s="97">
        <f t="shared" ref="C23:H23" si="4">SUM(C24:C24)</f>
        <v>0</v>
      </c>
      <c r="D23" s="97">
        <f t="shared" si="4"/>
        <v>0</v>
      </c>
      <c r="E23" s="97">
        <f t="shared" si="4"/>
        <v>2135001.17</v>
      </c>
      <c r="F23" s="97">
        <f t="shared" si="4"/>
        <v>2476866.34</v>
      </c>
      <c r="G23" s="97">
        <f t="shared" si="4"/>
        <v>9767746.5999999996</v>
      </c>
      <c r="H23" s="97">
        <f t="shared" si="4"/>
        <v>0</v>
      </c>
      <c r="I23" s="98">
        <f>SUM(C23:H23)</f>
        <v>14379614.109999999</v>
      </c>
    </row>
    <row r="24" spans="1:9" x14ac:dyDescent="0.25">
      <c r="A24" s="99" t="s">
        <v>74</v>
      </c>
      <c r="B24" s="100" t="s">
        <v>240</v>
      </c>
      <c r="C24" s="101">
        <v>0</v>
      </c>
      <c r="D24" s="101">
        <v>0</v>
      </c>
      <c r="E24" s="101">
        <v>2135001.17</v>
      </c>
      <c r="F24" s="101">
        <v>2476866.34</v>
      </c>
      <c r="G24" s="101">
        <f>9767237.43+509.17</f>
        <v>9767746.5999999996</v>
      </c>
      <c r="H24" s="101">
        <v>0</v>
      </c>
      <c r="I24" s="98">
        <f t="shared" ref="I24:I27" si="5">SUM(C24:H24)</f>
        <v>14379614.109999999</v>
      </c>
    </row>
    <row r="25" spans="1:9" x14ac:dyDescent="0.25">
      <c r="A25" s="96" t="s">
        <v>242</v>
      </c>
      <c r="B25" s="94" t="s">
        <v>231</v>
      </c>
      <c r="C25" s="97">
        <f t="shared" ref="C25:H25" si="6">SUM(C26:C27)</f>
        <v>0</v>
      </c>
      <c r="D25" s="97">
        <f t="shared" si="6"/>
        <v>0</v>
      </c>
      <c r="E25" s="97">
        <f t="shared" si="6"/>
        <v>0</v>
      </c>
      <c r="F25" s="97">
        <f t="shared" si="6"/>
        <v>0</v>
      </c>
      <c r="G25" s="97">
        <f t="shared" si="6"/>
        <v>0</v>
      </c>
      <c r="H25" s="97">
        <f t="shared" si="6"/>
        <v>0</v>
      </c>
      <c r="I25" s="98">
        <f t="shared" si="5"/>
        <v>0</v>
      </c>
    </row>
    <row r="26" spans="1:9" x14ac:dyDescent="0.25">
      <c r="A26" s="99" t="s">
        <v>74</v>
      </c>
      <c r="B26" s="100" t="s">
        <v>232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98">
        <f t="shared" si="5"/>
        <v>0</v>
      </c>
    </row>
    <row r="27" spans="1:9" x14ac:dyDescent="0.25">
      <c r="A27" s="99" t="s">
        <v>76</v>
      </c>
      <c r="B27" s="100" t="s">
        <v>233</v>
      </c>
      <c r="C27" s="101">
        <v>0</v>
      </c>
      <c r="D27" s="101">
        <v>0</v>
      </c>
      <c r="E27" s="101">
        <v>0</v>
      </c>
      <c r="F27" s="101">
        <v>0</v>
      </c>
      <c r="G27" s="101">
        <v>0</v>
      </c>
      <c r="H27" s="101">
        <v>0</v>
      </c>
      <c r="I27" s="98">
        <f t="shared" si="5"/>
        <v>0</v>
      </c>
    </row>
    <row r="28" spans="1:9" x14ac:dyDescent="0.25">
      <c r="A28" s="96" t="s">
        <v>243</v>
      </c>
      <c r="B28" s="94" t="s">
        <v>235</v>
      </c>
      <c r="C28" s="97">
        <f>C21+C23-C25</f>
        <v>0</v>
      </c>
      <c r="D28" s="97">
        <f>D21+D23-D25</f>
        <v>48583418.670000002</v>
      </c>
      <c r="E28" s="97">
        <f>E21+E23-E25+E22</f>
        <v>25751513.260000002</v>
      </c>
      <c r="F28" s="97">
        <f>F21+F23-F25+F22</f>
        <v>38296772.519999996</v>
      </c>
      <c r="G28" s="97">
        <f>G21+G23-G25</f>
        <v>172211760.33000001</v>
      </c>
      <c r="H28" s="97">
        <f>H21+H23-H25</f>
        <v>0</v>
      </c>
      <c r="I28" s="98">
        <f>I21+I23-I25</f>
        <v>279566939.11000001</v>
      </c>
    </row>
    <row r="29" spans="1:9" x14ac:dyDescent="0.25">
      <c r="A29" s="104" t="s">
        <v>244</v>
      </c>
      <c r="B29" s="105" t="s">
        <v>245</v>
      </c>
      <c r="C29" s="106">
        <f t="shared" ref="C29:H29" si="7">+C7-C21</f>
        <v>0</v>
      </c>
      <c r="D29" s="106">
        <f t="shared" si="7"/>
        <v>0</v>
      </c>
      <c r="E29" s="106">
        <f t="shared" si="7"/>
        <v>6338627.3099999987</v>
      </c>
      <c r="F29" s="106">
        <f t="shared" si="7"/>
        <v>5461964.1000000052</v>
      </c>
      <c r="G29" s="106">
        <f t="shared" si="7"/>
        <v>36726054.689999968</v>
      </c>
      <c r="H29" s="106">
        <f t="shared" si="7"/>
        <v>1184648.7200000011</v>
      </c>
      <c r="I29" s="107">
        <f>SUM(C29:H29)</f>
        <v>49711294.81999997</v>
      </c>
    </row>
    <row r="30" spans="1:9" ht="15.75" thickBot="1" x14ac:dyDescent="0.3">
      <c r="A30" s="108" t="s">
        <v>246</v>
      </c>
      <c r="B30" s="109" t="s">
        <v>247</v>
      </c>
      <c r="C30" s="110">
        <f t="shared" ref="C30:H30" si="8">+C19-C28</f>
        <v>0</v>
      </c>
      <c r="D30" s="110">
        <f t="shared" si="8"/>
        <v>0</v>
      </c>
      <c r="E30" s="110">
        <f t="shared" si="8"/>
        <v>5105034.5300000012</v>
      </c>
      <c r="F30" s="110">
        <f t="shared" si="8"/>
        <v>4241451.6800000072</v>
      </c>
      <c r="G30" s="110">
        <f t="shared" si="8"/>
        <v>27102374.839999974</v>
      </c>
      <c r="H30" s="110">
        <f t="shared" si="8"/>
        <v>2475393.0700000012</v>
      </c>
      <c r="I30" s="111">
        <f>SUM(C30:H30)</f>
        <v>38924254.119999982</v>
      </c>
    </row>
    <row r="31" spans="1:9" ht="15.75" thickTop="1" x14ac:dyDescent="0.25"/>
  </sheetData>
  <mergeCells count="11">
    <mergeCell ref="I4:I5"/>
    <mergeCell ref="A1:G1"/>
    <mergeCell ref="A2:I2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view="pageBreakPreview" zoomScale="85" zoomScaleNormal="85" zoomScaleSheetLayoutView="85" workbookViewId="0">
      <selection activeCell="A13" sqref="A13"/>
    </sheetView>
  </sheetViews>
  <sheetFormatPr defaultRowHeight="15" x14ac:dyDescent="0.25"/>
  <cols>
    <col min="1" max="1" width="4.28515625" style="142" customWidth="1"/>
    <col min="2" max="2" width="40.85546875" style="142" customWidth="1"/>
    <col min="3" max="3" width="16.140625" style="142" customWidth="1"/>
    <col min="4" max="4" width="15.7109375" style="142" customWidth="1"/>
    <col min="5" max="5" width="15.140625" style="142" customWidth="1"/>
    <col min="6" max="6" width="16.140625" style="142" customWidth="1"/>
    <col min="7" max="7" width="16" style="142" customWidth="1"/>
    <col min="8" max="8" width="15.7109375" style="142" customWidth="1"/>
    <col min="9" max="9" width="15.140625" style="142" customWidth="1"/>
  </cols>
  <sheetData>
    <row r="1" spans="1:9" ht="15.75" x14ac:dyDescent="0.25">
      <c r="A1" s="598" t="s">
        <v>248</v>
      </c>
      <c r="B1" s="598"/>
      <c r="C1" s="598"/>
      <c r="D1" s="598"/>
      <c r="E1" s="598"/>
      <c r="F1" s="112"/>
      <c r="G1" s="112"/>
      <c r="H1" s="112"/>
      <c r="I1" s="112"/>
    </row>
    <row r="2" spans="1:9" ht="15.75" x14ac:dyDescent="0.25">
      <c r="A2" s="599" t="s">
        <v>249</v>
      </c>
      <c r="B2" s="599"/>
      <c r="C2" s="599"/>
      <c r="D2" s="599"/>
      <c r="E2" s="599"/>
      <c r="F2" s="599"/>
      <c r="G2" s="599"/>
      <c r="H2" s="113"/>
      <c r="I2" s="114"/>
    </row>
    <row r="3" spans="1:9" ht="16.5" thickBot="1" x14ac:dyDescent="0.3">
      <c r="A3" s="113"/>
      <c r="B3" s="113"/>
      <c r="C3" s="113"/>
      <c r="D3" s="113"/>
      <c r="E3" s="113"/>
      <c r="F3" s="113"/>
      <c r="G3" s="113"/>
      <c r="H3" s="113"/>
      <c r="I3" s="115"/>
    </row>
    <row r="4" spans="1:9" ht="63.75" customHeight="1" thickTop="1" x14ac:dyDescent="0.25">
      <c r="A4" s="116" t="s">
        <v>56</v>
      </c>
      <c r="B4" s="117" t="s">
        <v>9</v>
      </c>
      <c r="C4" s="117" t="s">
        <v>250</v>
      </c>
      <c r="D4" s="117" t="s">
        <v>251</v>
      </c>
      <c r="E4" s="117" t="s">
        <v>252</v>
      </c>
      <c r="F4" s="117" t="s">
        <v>253</v>
      </c>
      <c r="G4" s="117" t="s">
        <v>254</v>
      </c>
      <c r="H4" s="117" t="s">
        <v>84</v>
      </c>
      <c r="I4" s="118" t="s">
        <v>255</v>
      </c>
    </row>
    <row r="5" spans="1:9" x14ac:dyDescent="0.25">
      <c r="A5" s="119"/>
      <c r="B5" s="120" t="s">
        <v>222</v>
      </c>
      <c r="C5" s="121"/>
      <c r="D5" s="121"/>
      <c r="E5" s="121"/>
      <c r="F5" s="121"/>
      <c r="G5" s="121"/>
      <c r="H5" s="121"/>
      <c r="I5" s="122"/>
    </row>
    <row r="6" spans="1:9" x14ac:dyDescent="0.25">
      <c r="A6" s="119" t="s">
        <v>64</v>
      </c>
      <c r="B6" s="123" t="s">
        <v>223</v>
      </c>
      <c r="C6" s="121">
        <v>7908803</v>
      </c>
      <c r="D6" s="121">
        <v>446199861.56</v>
      </c>
      <c r="E6" s="121">
        <v>473943072.81999999</v>
      </c>
      <c r="F6" s="121">
        <v>2741528.92</v>
      </c>
      <c r="G6" s="121">
        <v>36061612.340000004</v>
      </c>
      <c r="H6" s="121">
        <f>-0.25+41136211.16</f>
        <v>41136210.909999996</v>
      </c>
      <c r="I6" s="122">
        <f>SUM(C6:H6)</f>
        <v>1007991089.55</v>
      </c>
    </row>
    <row r="7" spans="1:9" x14ac:dyDescent="0.25">
      <c r="A7" s="119" t="s">
        <v>66</v>
      </c>
      <c r="B7" s="123" t="s">
        <v>224</v>
      </c>
      <c r="C7" s="121"/>
      <c r="D7" s="121"/>
      <c r="E7" s="121">
        <f>-4778377.3-498148.37</f>
        <v>-5276525.67</v>
      </c>
      <c r="F7" s="121"/>
      <c r="G7" s="121"/>
      <c r="H7" s="121"/>
      <c r="I7" s="122">
        <f t="shared" ref="I7:I16" si="0">SUM(C7:H7)</f>
        <v>-5276525.67</v>
      </c>
    </row>
    <row r="8" spans="1:9" x14ac:dyDescent="0.25">
      <c r="A8" s="119" t="s">
        <v>68</v>
      </c>
      <c r="B8" s="123" t="s">
        <v>225</v>
      </c>
      <c r="C8" s="121">
        <f t="shared" ref="C8:H8" si="1">SUM(C9:C11)</f>
        <v>0</v>
      </c>
      <c r="D8" s="121">
        <f t="shared" si="1"/>
        <v>23492711.213368077</v>
      </c>
      <c r="E8" s="121">
        <f t="shared" si="1"/>
        <v>32174816.802846212</v>
      </c>
      <c r="F8" s="121">
        <f t="shared" si="1"/>
        <v>91868.11</v>
      </c>
      <c r="G8" s="121">
        <f t="shared" si="1"/>
        <v>2922539.3428452113</v>
      </c>
      <c r="H8" s="121">
        <f t="shared" si="1"/>
        <v>-2814781.0890594944</v>
      </c>
      <c r="I8" s="122">
        <f t="shared" si="0"/>
        <v>55867154.380000003</v>
      </c>
    </row>
    <row r="9" spans="1:9" x14ac:dyDescent="0.25">
      <c r="A9" s="124" t="s">
        <v>74</v>
      </c>
      <c r="B9" s="125" t="s">
        <v>256</v>
      </c>
      <c r="C9" s="126">
        <v>0</v>
      </c>
      <c r="D9" s="126">
        <v>0</v>
      </c>
      <c r="E9" s="126">
        <v>0</v>
      </c>
      <c r="F9" s="126">
        <v>0</v>
      </c>
      <c r="G9" s="126">
        <v>0</v>
      </c>
      <c r="H9" s="126">
        <v>0</v>
      </c>
      <c r="I9" s="127">
        <f t="shared" si="0"/>
        <v>0</v>
      </c>
    </row>
    <row r="10" spans="1:9" x14ac:dyDescent="0.25">
      <c r="A10" s="124" t="s">
        <v>76</v>
      </c>
      <c r="B10" s="125" t="s">
        <v>257</v>
      </c>
      <c r="C10" s="126">
        <v>0</v>
      </c>
      <c r="D10" s="126">
        <f>25416401.82+'[5]nota nr 2 -3'!$D$10+[6]Arkusz_konsolidacyjny_2020!$G$13</f>
        <v>23492711.213368077</v>
      </c>
      <c r="E10" s="126">
        <f>32187085.44+'[5]nota nr 2 -3'!$E$10+[6]Arkusz_konsolidacyjny_2020!$G$14</f>
        <v>32174816.802846212</v>
      </c>
      <c r="F10" s="126">
        <f>'[5]nota nr 2 -3'!$F$10</f>
        <v>91868.11</v>
      </c>
      <c r="G10" s="126">
        <f>3172930.25+[6]Arkusz_konsolidacyjny_2020!$G$16</f>
        <v>2922539.3428452113</v>
      </c>
      <c r="H10" s="126">
        <f>-(D10+E10+F10+G10)</f>
        <v>-58681935.469059497</v>
      </c>
      <c r="I10" s="127">
        <f t="shared" si="0"/>
        <v>0</v>
      </c>
    </row>
    <row r="11" spans="1:9" x14ac:dyDescent="0.25">
      <c r="A11" s="124" t="s">
        <v>78</v>
      </c>
      <c r="B11" s="125" t="s">
        <v>258</v>
      </c>
      <c r="C11" s="126">
        <v>0</v>
      </c>
      <c r="D11" s="126">
        <v>0</v>
      </c>
      <c r="E11" s="126">
        <v>0</v>
      </c>
      <c r="F11" s="126">
        <v>0</v>
      </c>
      <c r="G11" s="126">
        <v>0</v>
      </c>
      <c r="H11" s="126">
        <f>58093918.03+'[5]nota nr 2 -3'!$H$10-2473667.32</f>
        <v>55867154.380000003</v>
      </c>
      <c r="I11" s="127">
        <f t="shared" si="0"/>
        <v>55867154.380000003</v>
      </c>
    </row>
    <row r="12" spans="1:9" x14ac:dyDescent="0.25">
      <c r="A12" s="119" t="s">
        <v>70</v>
      </c>
      <c r="B12" s="123" t="s">
        <v>231</v>
      </c>
      <c r="C12" s="121">
        <f t="shared" ref="C12:H12" si="2">SUM(C13:C16)</f>
        <v>0</v>
      </c>
      <c r="D12" s="121">
        <f t="shared" si="2"/>
        <v>3666694.8899999997</v>
      </c>
      <c r="E12" s="121">
        <f t="shared" si="2"/>
        <v>14236874.33</v>
      </c>
      <c r="F12" s="121">
        <f t="shared" si="2"/>
        <v>618396.12</v>
      </c>
      <c r="G12" s="121">
        <f t="shared" si="2"/>
        <v>498598.91</v>
      </c>
      <c r="H12" s="121">
        <f t="shared" si="2"/>
        <v>462771.47</v>
      </c>
      <c r="I12" s="122">
        <f t="shared" si="0"/>
        <v>19483335.719999999</v>
      </c>
    </row>
    <row r="13" spans="1:9" x14ac:dyDescent="0.25">
      <c r="A13" s="124" t="s">
        <v>74</v>
      </c>
      <c r="B13" s="125" t="s">
        <v>256</v>
      </c>
      <c r="C13" s="126">
        <v>0</v>
      </c>
      <c r="D13" s="126">
        <v>0</v>
      </c>
      <c r="E13" s="126">
        <v>0</v>
      </c>
      <c r="F13" s="126">
        <v>0</v>
      </c>
      <c r="G13" s="126">
        <v>0</v>
      </c>
      <c r="H13" s="126">
        <v>0</v>
      </c>
      <c r="I13" s="127">
        <f t="shared" si="0"/>
        <v>0</v>
      </c>
    </row>
    <row r="14" spans="1:9" x14ac:dyDescent="0.25">
      <c r="A14" s="124" t="s">
        <v>76</v>
      </c>
      <c r="B14" s="125" t="s">
        <v>232</v>
      </c>
      <c r="C14" s="126">
        <v>0</v>
      </c>
      <c r="D14" s="126">
        <f>3000+'[5]nota nr 2 -3'!$D$20</f>
        <v>44562.3</v>
      </c>
      <c r="E14" s="126">
        <f>12710734.52+'[5]nota nr 2 -3'!$E$20</f>
        <v>12857992.709999999</v>
      </c>
      <c r="F14" s="126">
        <f>'[5]nota nr 2 -3'!$F$20</f>
        <v>618396.12</v>
      </c>
      <c r="G14" s="126">
        <v>498598.91</v>
      </c>
      <c r="H14" s="126">
        <v>29285.25</v>
      </c>
      <c r="I14" s="127">
        <f t="shared" si="0"/>
        <v>14048835.289999999</v>
      </c>
    </row>
    <row r="15" spans="1:9" x14ac:dyDescent="0.25">
      <c r="A15" s="124" t="s">
        <v>78</v>
      </c>
      <c r="B15" s="125" t="s">
        <v>233</v>
      </c>
      <c r="C15" s="126">
        <v>0</v>
      </c>
      <c r="D15" s="126">
        <f>'[2]nota nr 4 (p)'!$D$20</f>
        <v>3622132.59</v>
      </c>
      <c r="E15" s="126">
        <v>1373561.06</v>
      </c>
      <c r="F15" s="126">
        <v>0</v>
      </c>
      <c r="G15" s="126">
        <v>0</v>
      </c>
      <c r="H15" s="126">
        <v>0</v>
      </c>
      <c r="I15" s="127">
        <f t="shared" si="0"/>
        <v>4995693.6500000004</v>
      </c>
    </row>
    <row r="16" spans="1:9" x14ac:dyDescent="0.25">
      <c r="A16" s="124" t="s">
        <v>80</v>
      </c>
      <c r="B16" s="125" t="s">
        <v>259</v>
      </c>
      <c r="C16" s="126">
        <v>0</v>
      </c>
      <c r="D16" s="126">
        <v>0</v>
      </c>
      <c r="E16" s="126">
        <v>5320.56</v>
      </c>
      <c r="F16" s="126">
        <v>0</v>
      </c>
      <c r="G16" s="126">
        <v>0</v>
      </c>
      <c r="H16" s="126">
        <f>412346.37+21139.85</f>
        <v>433486.22</v>
      </c>
      <c r="I16" s="127">
        <f t="shared" si="0"/>
        <v>438806.77999999997</v>
      </c>
    </row>
    <row r="17" spans="1:9" ht="15.75" thickBot="1" x14ac:dyDescent="0.3">
      <c r="A17" s="128" t="s">
        <v>234</v>
      </c>
      <c r="B17" s="129" t="s">
        <v>235</v>
      </c>
      <c r="C17" s="130">
        <f t="shared" ref="C17:I17" si="3">C6+C7+C8-C12</f>
        <v>7908803</v>
      </c>
      <c r="D17" s="130">
        <f t="shared" si="3"/>
        <v>466025877.88336807</v>
      </c>
      <c r="E17" s="130">
        <f t="shared" si="3"/>
        <v>486604489.62284619</v>
      </c>
      <c r="F17" s="130">
        <f t="shared" si="3"/>
        <v>2215000.9099999997</v>
      </c>
      <c r="G17" s="130">
        <f t="shared" si="3"/>
        <v>38485552.772845216</v>
      </c>
      <c r="H17" s="130">
        <f t="shared" si="3"/>
        <v>37858658.350940503</v>
      </c>
      <c r="I17" s="131">
        <f t="shared" si="3"/>
        <v>1039098382.54</v>
      </c>
    </row>
    <row r="18" spans="1:9" ht="16.5" thickTop="1" thickBot="1" x14ac:dyDescent="0.3">
      <c r="A18" s="132"/>
      <c r="B18" s="125"/>
      <c r="C18" s="126"/>
      <c r="D18" s="126"/>
      <c r="E18" s="126"/>
      <c r="F18" s="126"/>
      <c r="G18" s="126"/>
      <c r="H18" s="126"/>
      <c r="I18" s="133"/>
    </row>
    <row r="19" spans="1:9" ht="63" customHeight="1" thickTop="1" x14ac:dyDescent="0.25">
      <c r="A19" s="116" t="s">
        <v>56</v>
      </c>
      <c r="B19" s="117" t="s">
        <v>9</v>
      </c>
      <c r="C19" s="117" t="s">
        <v>250</v>
      </c>
      <c r="D19" s="117" t="s">
        <v>251</v>
      </c>
      <c r="E19" s="117" t="s">
        <v>252</v>
      </c>
      <c r="F19" s="117" t="s">
        <v>253</v>
      </c>
      <c r="G19" s="117" t="s">
        <v>254</v>
      </c>
      <c r="H19" s="117" t="s">
        <v>84</v>
      </c>
      <c r="I19" s="118" t="s">
        <v>255</v>
      </c>
    </row>
    <row r="20" spans="1:9" x14ac:dyDescent="0.25">
      <c r="A20" s="124"/>
      <c r="B20" s="120" t="s">
        <v>260</v>
      </c>
      <c r="C20" s="126"/>
      <c r="D20" s="126"/>
      <c r="E20" s="126"/>
      <c r="F20" s="126"/>
      <c r="G20" s="126"/>
      <c r="H20" s="126"/>
      <c r="I20" s="127"/>
    </row>
    <row r="21" spans="1:9" x14ac:dyDescent="0.25">
      <c r="A21" s="119" t="s">
        <v>64</v>
      </c>
      <c r="B21" s="123" t="s">
        <v>223</v>
      </c>
      <c r="C21" s="134">
        <v>1547769.4299999997</v>
      </c>
      <c r="D21" s="134">
        <v>281266891.04000002</v>
      </c>
      <c r="E21" s="134">
        <v>346827709.22000003</v>
      </c>
      <c r="F21" s="134">
        <v>1531647.56</v>
      </c>
      <c r="G21" s="134">
        <v>30073471.510000002</v>
      </c>
      <c r="H21" s="134">
        <v>95180.93</v>
      </c>
      <c r="I21" s="122">
        <f t="shared" ref="I21:I40" si="4">SUM(C21:H21)</f>
        <v>661342669.68999994</v>
      </c>
    </row>
    <row r="22" spans="1:9" x14ac:dyDescent="0.25">
      <c r="A22" s="119" t="s">
        <v>66</v>
      </c>
      <c r="B22" s="123" t="s">
        <v>224</v>
      </c>
      <c r="C22" s="134"/>
      <c r="D22" s="134"/>
      <c r="E22" s="134">
        <f>-4778377.3-498148.37</f>
        <v>-5276525.67</v>
      </c>
      <c r="F22" s="134"/>
      <c r="G22" s="134"/>
      <c r="H22" s="134"/>
      <c r="I22" s="122">
        <f t="shared" si="4"/>
        <v>-5276525.67</v>
      </c>
    </row>
    <row r="23" spans="1:9" x14ac:dyDescent="0.25">
      <c r="A23" s="119" t="s">
        <v>68</v>
      </c>
      <c r="B23" s="123" t="s">
        <v>225</v>
      </c>
      <c r="C23" s="121">
        <f t="shared" ref="C23:H23" si="5">SUM(C24:C28)</f>
        <v>93323.88</v>
      </c>
      <c r="D23" s="121">
        <f t="shared" si="5"/>
        <v>17396311.472052582</v>
      </c>
      <c r="E23" s="121">
        <f t="shared" si="5"/>
        <v>33466694.658854585</v>
      </c>
      <c r="F23" s="121">
        <f t="shared" si="5"/>
        <v>396941.5</v>
      </c>
      <c r="G23" s="121">
        <f t="shared" si="5"/>
        <v>1322316.6591108895</v>
      </c>
      <c r="H23" s="121">
        <f t="shared" si="5"/>
        <v>2664296.9699999997</v>
      </c>
      <c r="I23" s="122">
        <f t="shared" si="4"/>
        <v>55339885.140018053</v>
      </c>
    </row>
    <row r="24" spans="1:9" x14ac:dyDescent="0.25">
      <c r="A24" s="124" t="s">
        <v>74</v>
      </c>
      <c r="B24" s="125" t="s">
        <v>256</v>
      </c>
      <c r="C24" s="126">
        <v>0</v>
      </c>
      <c r="D24" s="126">
        <v>0</v>
      </c>
      <c r="E24" s="126">
        <v>0</v>
      </c>
      <c r="F24" s="126">
        <v>0</v>
      </c>
      <c r="G24" s="126">
        <v>0</v>
      </c>
      <c r="H24" s="126">
        <f>664296.97+2000000</f>
        <v>2664296.9699999997</v>
      </c>
      <c r="I24" s="127">
        <f t="shared" si="4"/>
        <v>2664296.9699999997</v>
      </c>
    </row>
    <row r="25" spans="1:9" x14ac:dyDescent="0.25">
      <c r="A25" s="124" t="s">
        <v>76</v>
      </c>
      <c r="B25" s="100" t="s">
        <v>240</v>
      </c>
      <c r="C25" s="126">
        <v>93323.88</v>
      </c>
      <c r="D25" s="126">
        <f>17855772.67+'[5]nota nr 2 -3'!$D$32-[6]Arkusz_konsolidacyjny_2020!$J$13</f>
        <v>17396311.472052582</v>
      </c>
      <c r="E25" s="126">
        <f>33045086.76+'[5]nota nr 2 -3'!$E$32-[6]Arkusz_konsolidacyjny_2020!$J$14</f>
        <v>33466694.658854585</v>
      </c>
      <c r="F25" s="126">
        <f>29454.52+'[5]nota nr 2 -3'!$F$32</f>
        <v>396941.5</v>
      </c>
      <c r="G25" s="126">
        <f>1393416.34+'[5]nota nr 2 -3'!$G$32-[6]Arkusz_konsolidacyjny_2020!$J$16+0.25</f>
        <v>1322316.6591108895</v>
      </c>
      <c r="H25" s="126">
        <v>0</v>
      </c>
      <c r="I25" s="127">
        <f t="shared" si="4"/>
        <v>52675588.170018055</v>
      </c>
    </row>
    <row r="26" spans="1:9" x14ac:dyDescent="0.25">
      <c r="A26" s="124" t="s">
        <v>78</v>
      </c>
      <c r="B26" s="100" t="s">
        <v>241</v>
      </c>
      <c r="C26" s="126">
        <v>0</v>
      </c>
      <c r="D26" s="126">
        <v>0</v>
      </c>
      <c r="E26" s="126">
        <v>0</v>
      </c>
      <c r="F26" s="126">
        <v>0</v>
      </c>
      <c r="G26" s="126">
        <v>0</v>
      </c>
      <c r="H26" s="126">
        <v>0</v>
      </c>
      <c r="I26" s="127">
        <f t="shared" si="4"/>
        <v>0</v>
      </c>
    </row>
    <row r="27" spans="1:9" x14ac:dyDescent="0.25">
      <c r="A27" s="124" t="s">
        <v>80</v>
      </c>
      <c r="B27" s="125" t="s">
        <v>261</v>
      </c>
      <c r="C27" s="126">
        <v>0</v>
      </c>
      <c r="D27" s="126">
        <v>0</v>
      </c>
      <c r="E27" s="126">
        <v>0</v>
      </c>
      <c r="F27" s="126">
        <v>0</v>
      </c>
      <c r="G27" s="126">
        <v>0</v>
      </c>
      <c r="H27" s="126">
        <v>0</v>
      </c>
      <c r="I27" s="127">
        <f t="shared" si="4"/>
        <v>0</v>
      </c>
    </row>
    <row r="28" spans="1:9" x14ac:dyDescent="0.25">
      <c r="A28" s="124" t="s">
        <v>82</v>
      </c>
      <c r="B28" s="125" t="s">
        <v>259</v>
      </c>
      <c r="C28" s="126">
        <v>0</v>
      </c>
      <c r="D28" s="126">
        <v>0</v>
      </c>
      <c r="E28" s="126">
        <v>0</v>
      </c>
      <c r="F28" s="126">
        <v>0</v>
      </c>
      <c r="G28" s="126">
        <v>0</v>
      </c>
      <c r="H28" s="126">
        <v>0</v>
      </c>
      <c r="I28" s="127">
        <f t="shared" si="4"/>
        <v>0</v>
      </c>
    </row>
    <row r="29" spans="1:9" x14ac:dyDescent="0.25">
      <c r="A29" s="119" t="s">
        <v>70</v>
      </c>
      <c r="B29" s="123" t="s">
        <v>231</v>
      </c>
      <c r="C29" s="121">
        <f t="shared" ref="C29:H29" si="6">SUM(C30:C37)</f>
        <v>0</v>
      </c>
      <c r="D29" s="121">
        <f t="shared" si="6"/>
        <v>2609753.61</v>
      </c>
      <c r="E29" s="121">
        <f t="shared" si="6"/>
        <v>14217181.829999998</v>
      </c>
      <c r="F29" s="121">
        <f t="shared" si="6"/>
        <v>491586.52</v>
      </c>
      <c r="G29" s="121">
        <f t="shared" si="6"/>
        <v>512870.38</v>
      </c>
      <c r="H29" s="121">
        <f t="shared" si="6"/>
        <v>0</v>
      </c>
      <c r="I29" s="122">
        <f t="shared" si="4"/>
        <v>17831392.339999996</v>
      </c>
    </row>
    <row r="30" spans="1:9" x14ac:dyDescent="0.25">
      <c r="A30" s="124" t="s">
        <v>74</v>
      </c>
      <c r="B30" s="125" t="s">
        <v>256</v>
      </c>
      <c r="C30" s="126">
        <v>0</v>
      </c>
      <c r="D30" s="126">
        <v>44.09</v>
      </c>
      <c r="E30" s="126">
        <v>371.86</v>
      </c>
      <c r="F30" s="126">
        <v>0</v>
      </c>
      <c r="G30" s="126">
        <v>14892.28</v>
      </c>
      <c r="H30" s="126">
        <v>0</v>
      </c>
      <c r="I30" s="127">
        <f t="shared" si="4"/>
        <v>15308.230000000001</v>
      </c>
    </row>
    <row r="31" spans="1:9" x14ac:dyDescent="0.25">
      <c r="A31" s="124" t="s">
        <v>76</v>
      </c>
      <c r="B31" s="125" t="s">
        <v>232</v>
      </c>
      <c r="C31" s="126">
        <v>0</v>
      </c>
      <c r="D31" s="126">
        <v>1621.5</v>
      </c>
      <c r="E31" s="126">
        <v>12706089.35</v>
      </c>
      <c r="F31" s="126">
        <v>0</v>
      </c>
      <c r="G31" s="126">
        <v>497978.1</v>
      </c>
      <c r="H31" s="126">
        <v>0</v>
      </c>
      <c r="I31" s="127">
        <f t="shared" si="4"/>
        <v>13205688.949999999</v>
      </c>
    </row>
    <row r="32" spans="1:9" x14ac:dyDescent="0.25">
      <c r="A32" s="124" t="s">
        <v>78</v>
      </c>
      <c r="B32" s="125" t="s">
        <v>233</v>
      </c>
      <c r="C32" s="126">
        <v>0</v>
      </c>
      <c r="D32" s="126">
        <f>'[7]nota nr 2 -3'!$D$39+'[2]nota nr 4 (p)'!$D$37</f>
        <v>2608088.02</v>
      </c>
      <c r="E32" s="126">
        <f>1362736.18+'[7]nota nr 2 -3'!$E$39</f>
        <v>1508415.5899999999</v>
      </c>
      <c r="F32" s="126">
        <f>'[7]nota nr 2 -3'!$F$39</f>
        <v>491586.52</v>
      </c>
      <c r="G32" s="126">
        <v>0</v>
      </c>
      <c r="H32" s="126">
        <v>0</v>
      </c>
      <c r="I32" s="127">
        <f t="shared" si="4"/>
        <v>4608090.13</v>
      </c>
    </row>
    <row r="33" spans="1:9" x14ac:dyDescent="0.25">
      <c r="A33" s="124" t="s">
        <v>80</v>
      </c>
      <c r="B33" s="125" t="s">
        <v>229</v>
      </c>
      <c r="C33" s="126">
        <v>0</v>
      </c>
      <c r="D33" s="126">
        <v>0</v>
      </c>
      <c r="E33" s="126">
        <v>0</v>
      </c>
      <c r="F33" s="126">
        <v>0</v>
      </c>
      <c r="G33" s="126">
        <v>0</v>
      </c>
      <c r="H33" s="126">
        <v>0</v>
      </c>
      <c r="I33" s="127">
        <f t="shared" si="4"/>
        <v>0</v>
      </c>
    </row>
    <row r="34" spans="1:9" x14ac:dyDescent="0.25">
      <c r="A34" s="124" t="s">
        <v>82</v>
      </c>
      <c r="B34" s="125" t="s">
        <v>262</v>
      </c>
      <c r="C34" s="126">
        <v>0</v>
      </c>
      <c r="D34" s="126">
        <v>0</v>
      </c>
      <c r="E34" s="126">
        <v>0</v>
      </c>
      <c r="F34" s="126">
        <v>0</v>
      </c>
      <c r="G34" s="126">
        <v>0</v>
      </c>
      <c r="H34" s="126">
        <v>0</v>
      </c>
      <c r="I34" s="127">
        <f t="shared" si="4"/>
        <v>0</v>
      </c>
    </row>
    <row r="35" spans="1:9" x14ac:dyDescent="0.25">
      <c r="A35" s="124" t="s">
        <v>155</v>
      </c>
      <c r="B35" s="125" t="s">
        <v>263</v>
      </c>
      <c r="C35" s="126">
        <v>0</v>
      </c>
      <c r="D35" s="126">
        <v>0</v>
      </c>
      <c r="E35" s="126">
        <v>0</v>
      </c>
      <c r="F35" s="126">
        <v>0</v>
      </c>
      <c r="G35" s="126">
        <v>0</v>
      </c>
      <c r="H35" s="126">
        <v>0</v>
      </c>
      <c r="I35" s="127">
        <f t="shared" si="4"/>
        <v>0</v>
      </c>
    </row>
    <row r="36" spans="1:9" x14ac:dyDescent="0.25">
      <c r="A36" s="124" t="s">
        <v>157</v>
      </c>
      <c r="B36" s="125" t="s">
        <v>241</v>
      </c>
      <c r="C36" s="126">
        <v>0</v>
      </c>
      <c r="D36" s="126">
        <v>0</v>
      </c>
      <c r="E36" s="126">
        <v>0</v>
      </c>
      <c r="F36" s="126">
        <v>0</v>
      </c>
      <c r="G36" s="126">
        <v>0</v>
      </c>
      <c r="H36" s="126">
        <v>0</v>
      </c>
      <c r="I36" s="127">
        <f t="shared" si="4"/>
        <v>0</v>
      </c>
    </row>
    <row r="37" spans="1:9" x14ac:dyDescent="0.25">
      <c r="A37" s="124" t="s">
        <v>80</v>
      </c>
      <c r="B37" s="125" t="s">
        <v>259</v>
      </c>
      <c r="C37" s="126">
        <v>0</v>
      </c>
      <c r="D37" s="126">
        <v>0</v>
      </c>
      <c r="E37" s="126">
        <f>2305.03</f>
        <v>2305.0300000000002</v>
      </c>
      <c r="F37" s="126">
        <v>0</v>
      </c>
      <c r="G37" s="126">
        <v>0</v>
      </c>
      <c r="H37" s="126">
        <v>0</v>
      </c>
      <c r="I37" s="127">
        <f t="shared" si="4"/>
        <v>2305.0300000000002</v>
      </c>
    </row>
    <row r="38" spans="1:9" x14ac:dyDescent="0.25">
      <c r="A38" s="119" t="s">
        <v>234</v>
      </c>
      <c r="B38" s="123" t="s">
        <v>235</v>
      </c>
      <c r="C38" s="121">
        <f t="shared" ref="C38:H38" si="7">C21+C22+C23-C29</f>
        <v>1641093.3099999996</v>
      </c>
      <c r="D38" s="121">
        <f t="shared" si="7"/>
        <v>296053448.90205258</v>
      </c>
      <c r="E38" s="121">
        <f t="shared" si="7"/>
        <v>360800696.37885463</v>
      </c>
      <c r="F38" s="121">
        <f t="shared" si="7"/>
        <v>1437002.54</v>
      </c>
      <c r="G38" s="121">
        <f t="shared" si="7"/>
        <v>30882917.789110892</v>
      </c>
      <c r="H38" s="121">
        <f t="shared" si="7"/>
        <v>2759477.9</v>
      </c>
      <c r="I38" s="122">
        <f>I21+I22+I23-I29</f>
        <v>693574636.82001805</v>
      </c>
    </row>
    <row r="39" spans="1:9" x14ac:dyDescent="0.25">
      <c r="A39" s="135" t="s">
        <v>237</v>
      </c>
      <c r="B39" s="136" t="s">
        <v>245</v>
      </c>
      <c r="C39" s="137">
        <f t="shared" ref="C39:H39" si="8">+C6-C21</f>
        <v>6361033.5700000003</v>
      </c>
      <c r="D39" s="137">
        <f t="shared" si="8"/>
        <v>164932970.51999998</v>
      </c>
      <c r="E39" s="137">
        <f t="shared" si="8"/>
        <v>127115363.59999996</v>
      </c>
      <c r="F39" s="137">
        <f t="shared" si="8"/>
        <v>1209881.3599999999</v>
      </c>
      <c r="G39" s="137">
        <f t="shared" si="8"/>
        <v>5988140.8300000019</v>
      </c>
      <c r="H39" s="137">
        <f t="shared" si="8"/>
        <v>41041029.979999997</v>
      </c>
      <c r="I39" s="138">
        <f t="shared" si="4"/>
        <v>346648419.85999995</v>
      </c>
    </row>
    <row r="40" spans="1:9" ht="15.75" thickBot="1" x14ac:dyDescent="0.3">
      <c r="A40" s="128" t="s">
        <v>238</v>
      </c>
      <c r="B40" s="129" t="s">
        <v>247</v>
      </c>
      <c r="C40" s="130">
        <f t="shared" ref="C40:H40" si="9">+C17-C38</f>
        <v>6267709.6900000004</v>
      </c>
      <c r="D40" s="130">
        <f t="shared" si="9"/>
        <v>169972428.98131549</v>
      </c>
      <c r="E40" s="130">
        <f t="shared" si="9"/>
        <v>125803793.24399155</v>
      </c>
      <c r="F40" s="130">
        <f t="shared" si="9"/>
        <v>777998.36999999965</v>
      </c>
      <c r="G40" s="130">
        <f t="shared" si="9"/>
        <v>7602634.9837343246</v>
      </c>
      <c r="H40" s="130">
        <f t="shared" si="9"/>
        <v>35099180.450940505</v>
      </c>
      <c r="I40" s="131">
        <f t="shared" si="4"/>
        <v>345523745.71998185</v>
      </c>
    </row>
    <row r="41" spans="1:9" ht="15.75" thickTop="1" x14ac:dyDescent="0.25">
      <c r="A41" s="139"/>
      <c r="B41" s="140"/>
      <c r="C41" s="141">
        <f>C40-[1]Aktywa!D13</f>
        <v>0</v>
      </c>
      <c r="D41" s="141">
        <f>[1]Aktywa!D14-D40</f>
        <v>8.3914399147033691E-4</v>
      </c>
      <c r="E41" s="141">
        <f>E40-[1]Aktywa!D15</f>
        <v>2.8887391090393066E-3</v>
      </c>
      <c r="F41" s="141">
        <f>[1]Aktywa!D16-F40</f>
        <v>0</v>
      </c>
      <c r="G41" s="141">
        <f>G40-[1]Aktywa!D17</f>
        <v>2.0946189761161804E-3</v>
      </c>
      <c r="H41" s="114">
        <f>H40-[1]Aktywa!D18</f>
        <v>0</v>
      </c>
    </row>
    <row r="42" spans="1:9" x14ac:dyDescent="0.25">
      <c r="A42" s="139"/>
      <c r="B42" s="140"/>
      <c r="C42" s="141"/>
      <c r="D42" s="141"/>
      <c r="E42" s="141"/>
      <c r="F42" s="141"/>
      <c r="G42" s="141"/>
      <c r="H42" s="114"/>
    </row>
    <row r="43" spans="1:9" x14ac:dyDescent="0.25">
      <c r="A43" s="582" t="s">
        <v>264</v>
      </c>
      <c r="B43" s="582"/>
      <c r="C43" s="582"/>
      <c r="D43" s="582"/>
      <c r="E43" s="582"/>
      <c r="F43" s="582"/>
      <c r="G43" s="582"/>
      <c r="H43" s="582"/>
      <c r="I43" s="601"/>
    </row>
    <row r="44" spans="1:9" x14ac:dyDescent="0.25">
      <c r="A44" s="582"/>
      <c r="B44" s="582"/>
      <c r="C44" s="582"/>
      <c r="D44" s="582"/>
      <c r="E44" s="582"/>
      <c r="F44" s="582"/>
      <c r="G44" s="582"/>
      <c r="H44" s="582"/>
      <c r="I44" s="601"/>
    </row>
    <row r="45" spans="1:9" x14ac:dyDescent="0.25">
      <c r="A45" s="144"/>
      <c r="B45" s="144"/>
      <c r="D45" s="144"/>
      <c r="E45" s="144"/>
      <c r="F45" s="144"/>
      <c r="G45" s="144"/>
      <c r="H45" s="144"/>
      <c r="I45" s="143"/>
    </row>
    <row r="46" spans="1:9" ht="15.75" x14ac:dyDescent="0.25">
      <c r="A46" s="599" t="s">
        <v>265</v>
      </c>
      <c r="B46" s="599"/>
      <c r="C46" s="599"/>
      <c r="D46" s="599"/>
      <c r="E46" s="599"/>
      <c r="F46" s="599"/>
      <c r="G46" s="599"/>
      <c r="H46" s="114"/>
    </row>
    <row r="47" spans="1:9" x14ac:dyDescent="0.25">
      <c r="B47" s="2" t="s">
        <v>266</v>
      </c>
      <c r="C47" s="141"/>
      <c r="D47" s="141"/>
      <c r="E47" s="141"/>
      <c r="F47" s="141"/>
      <c r="G47" s="141"/>
      <c r="H47" s="114"/>
    </row>
    <row r="48" spans="1:9" x14ac:dyDescent="0.25">
      <c r="A48" s="139"/>
      <c r="B48" s="140"/>
      <c r="C48" s="141"/>
      <c r="D48" s="141"/>
      <c r="E48" s="141"/>
      <c r="F48" s="141"/>
      <c r="G48" s="141"/>
      <c r="H48" s="114"/>
    </row>
    <row r="49" spans="1:9" ht="15.75" x14ac:dyDescent="0.25">
      <c r="A49" s="600" t="s">
        <v>267</v>
      </c>
      <c r="B49" s="600"/>
      <c r="C49" s="600"/>
      <c r="D49" s="600"/>
      <c r="E49" s="600"/>
      <c r="F49" s="600"/>
      <c r="G49" s="600"/>
      <c r="H49" s="600"/>
      <c r="I49" s="600"/>
    </row>
    <row r="50" spans="1:9" x14ac:dyDescent="0.25">
      <c r="A50" s="139"/>
      <c r="B50" s="2" t="s">
        <v>545</v>
      </c>
      <c r="C50" s="141"/>
      <c r="D50" s="141"/>
      <c r="E50" s="141"/>
      <c r="F50" s="141"/>
      <c r="G50" s="141"/>
      <c r="H50" s="114"/>
    </row>
    <row r="51" spans="1:9" x14ac:dyDescent="0.25">
      <c r="A51" s="139"/>
      <c r="B51" s="140"/>
      <c r="C51" s="141"/>
      <c r="D51" s="141"/>
      <c r="E51" s="141"/>
      <c r="F51" s="141"/>
      <c r="G51" s="141"/>
      <c r="H51" s="114"/>
    </row>
    <row r="52" spans="1:9" x14ac:dyDescent="0.25">
      <c r="A52" s="139"/>
      <c r="B52" s="140"/>
      <c r="C52" s="141"/>
      <c r="D52" s="141"/>
      <c r="E52" s="141"/>
      <c r="F52" s="141"/>
      <c r="G52" s="141"/>
      <c r="H52" s="114"/>
    </row>
    <row r="53" spans="1:9" x14ac:dyDescent="0.25">
      <c r="A53" s="139"/>
      <c r="B53" s="140"/>
      <c r="C53" s="141"/>
      <c r="D53" s="141"/>
      <c r="E53" s="141"/>
      <c r="F53" s="141"/>
      <c r="G53" s="141"/>
      <c r="H53" s="114"/>
    </row>
    <row r="54" spans="1:9" x14ac:dyDescent="0.25">
      <c r="A54" s="139"/>
      <c r="B54" s="140"/>
      <c r="C54" s="141"/>
      <c r="D54" s="141"/>
      <c r="E54" s="141"/>
      <c r="F54" s="141"/>
      <c r="G54" s="141"/>
      <c r="H54" s="114"/>
    </row>
    <row r="55" spans="1:9" x14ac:dyDescent="0.25">
      <c r="A55" s="139"/>
      <c r="B55" s="140"/>
      <c r="C55" s="141"/>
      <c r="D55" s="141"/>
      <c r="E55" s="141"/>
      <c r="F55" s="141"/>
      <c r="G55" s="141"/>
      <c r="H55" s="114"/>
    </row>
    <row r="56" spans="1:9" x14ac:dyDescent="0.25">
      <c r="A56" s="139"/>
      <c r="B56" s="140"/>
      <c r="C56" s="141"/>
      <c r="D56" s="141"/>
      <c r="E56" s="141"/>
      <c r="F56" s="141"/>
      <c r="G56" s="141"/>
      <c r="H56" s="114"/>
    </row>
    <row r="57" spans="1:9" x14ac:dyDescent="0.25">
      <c r="A57" s="139"/>
      <c r="B57" s="140"/>
      <c r="C57" s="141"/>
      <c r="D57" s="141"/>
      <c r="E57" s="141"/>
      <c r="F57" s="141"/>
      <c r="G57" s="141"/>
      <c r="H57" s="114"/>
    </row>
    <row r="58" spans="1:9" x14ac:dyDescent="0.25">
      <c r="A58" s="139"/>
      <c r="B58" s="140"/>
      <c r="C58" s="141"/>
      <c r="D58" s="141"/>
      <c r="E58" s="141"/>
      <c r="F58" s="141"/>
      <c r="G58" s="141"/>
      <c r="H58" s="114"/>
    </row>
    <row r="59" spans="1:9" x14ac:dyDescent="0.25">
      <c r="A59" s="139"/>
      <c r="B59" s="140"/>
      <c r="C59" s="141"/>
      <c r="D59" s="141"/>
      <c r="E59" s="141"/>
      <c r="F59" s="141"/>
      <c r="G59" s="141"/>
      <c r="H59" s="114"/>
    </row>
    <row r="60" spans="1:9" x14ac:dyDescent="0.25">
      <c r="A60" s="139"/>
      <c r="B60" s="140"/>
      <c r="C60" s="141"/>
      <c r="D60" s="141"/>
      <c r="E60" s="141"/>
      <c r="F60" s="141"/>
      <c r="G60" s="141"/>
      <c r="H60" s="114"/>
    </row>
    <row r="61" spans="1:9" x14ac:dyDescent="0.25">
      <c r="A61" s="139"/>
      <c r="B61" s="140"/>
      <c r="C61" s="141"/>
      <c r="D61" s="141"/>
      <c r="E61" s="141"/>
      <c r="F61" s="141"/>
      <c r="G61" s="141"/>
      <c r="H61" s="114"/>
    </row>
    <row r="62" spans="1:9" x14ac:dyDescent="0.25">
      <c r="A62" s="139"/>
      <c r="B62" s="140"/>
      <c r="C62" s="141"/>
      <c r="D62" s="141"/>
      <c r="E62" s="141"/>
      <c r="F62" s="141"/>
      <c r="G62" s="141"/>
      <c r="H62" s="114"/>
    </row>
    <row r="63" spans="1:9" x14ac:dyDescent="0.25">
      <c r="A63" s="139"/>
      <c r="B63" s="140"/>
      <c r="C63" s="141"/>
      <c r="D63" s="141"/>
      <c r="E63" s="141"/>
      <c r="F63" s="141"/>
      <c r="G63" s="141"/>
      <c r="H63" s="114"/>
    </row>
    <row r="64" spans="1:9" x14ac:dyDescent="0.25">
      <c r="A64" s="139"/>
      <c r="B64" s="140"/>
      <c r="C64" s="141"/>
      <c r="D64" s="141"/>
      <c r="E64" s="141"/>
      <c r="F64" s="141"/>
      <c r="G64" s="141"/>
      <c r="H64" s="114"/>
    </row>
    <row r="65" spans="1:8" x14ac:dyDescent="0.25">
      <c r="A65" s="139"/>
      <c r="B65" s="140"/>
      <c r="C65" s="141"/>
      <c r="D65" s="141"/>
      <c r="E65" s="141"/>
      <c r="F65" s="141"/>
      <c r="G65" s="141"/>
      <c r="H65" s="114"/>
    </row>
    <row r="66" spans="1:8" x14ac:dyDescent="0.25">
      <c r="A66" s="139"/>
      <c r="B66" s="140"/>
      <c r="C66" s="141"/>
      <c r="D66" s="141"/>
      <c r="E66" s="141"/>
      <c r="F66" s="141"/>
      <c r="G66" s="141"/>
      <c r="H66" s="114"/>
    </row>
    <row r="67" spans="1:8" x14ac:dyDescent="0.25">
      <c r="A67" s="139"/>
      <c r="B67" s="140"/>
      <c r="C67" s="141"/>
      <c r="D67" s="141"/>
      <c r="E67" s="141"/>
      <c r="F67" s="141"/>
      <c r="G67" s="141"/>
      <c r="H67" s="114"/>
    </row>
    <row r="68" spans="1:8" x14ac:dyDescent="0.25">
      <c r="A68" s="139"/>
      <c r="B68" s="140"/>
      <c r="C68" s="141"/>
      <c r="D68" s="141"/>
      <c r="E68" s="141"/>
      <c r="F68" s="141"/>
      <c r="G68" s="141"/>
      <c r="H68" s="114"/>
    </row>
    <row r="69" spans="1:8" x14ac:dyDescent="0.25">
      <c r="A69" s="139"/>
      <c r="B69" s="140"/>
      <c r="C69" s="141"/>
      <c r="D69" s="141"/>
      <c r="E69" s="141"/>
      <c r="F69" s="141"/>
      <c r="G69" s="141"/>
      <c r="H69" s="114"/>
    </row>
    <row r="70" spans="1:8" x14ac:dyDescent="0.25">
      <c r="A70" s="139"/>
      <c r="B70" s="140"/>
      <c r="C70" s="141"/>
      <c r="D70" s="141"/>
      <c r="E70" s="141"/>
      <c r="F70" s="141"/>
      <c r="G70" s="141"/>
      <c r="H70" s="114"/>
    </row>
    <row r="71" spans="1:8" x14ac:dyDescent="0.25">
      <c r="A71" s="139"/>
      <c r="B71" s="140"/>
      <c r="C71" s="141"/>
      <c r="D71" s="141"/>
      <c r="E71" s="141"/>
      <c r="F71" s="141"/>
      <c r="G71" s="141"/>
      <c r="H71" s="114"/>
    </row>
    <row r="72" spans="1:8" x14ac:dyDescent="0.25">
      <c r="A72" s="139"/>
      <c r="B72" s="140"/>
      <c r="C72" s="141"/>
      <c r="D72" s="141"/>
      <c r="E72" s="141"/>
      <c r="F72" s="141"/>
      <c r="G72" s="141"/>
      <c r="H72" s="114"/>
    </row>
    <row r="73" spans="1:8" x14ac:dyDescent="0.25">
      <c r="A73" s="139"/>
      <c r="B73" s="140"/>
      <c r="C73" s="141"/>
      <c r="D73" s="141"/>
      <c r="E73" s="141"/>
      <c r="F73" s="141"/>
      <c r="G73" s="141"/>
      <c r="H73" s="114"/>
    </row>
    <row r="74" spans="1:8" x14ac:dyDescent="0.25">
      <c r="A74" s="145"/>
      <c r="B74" s="146"/>
      <c r="C74" s="114"/>
      <c r="D74" s="114"/>
      <c r="E74" s="114"/>
      <c r="F74" s="114"/>
      <c r="G74" s="114"/>
      <c r="H74" s="114"/>
    </row>
    <row r="75" spans="1:8" x14ac:dyDescent="0.25">
      <c r="A75" s="145"/>
      <c r="B75" s="146"/>
      <c r="C75" s="114"/>
      <c r="D75" s="114"/>
      <c r="E75" s="114"/>
      <c r="F75" s="114"/>
      <c r="G75" s="114"/>
      <c r="H75" s="114"/>
    </row>
  </sheetData>
  <mergeCells count="5">
    <mergeCell ref="A1:E1"/>
    <mergeCell ref="A2:G2"/>
    <mergeCell ref="A46:G46"/>
    <mergeCell ref="A49:I49"/>
    <mergeCell ref="A43:I44"/>
  </mergeCells>
  <pageMargins left="0.7" right="0.7" top="0.75" bottom="0.75" header="0.3" footer="0.3"/>
  <pageSetup paperSize="9"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view="pageBreakPreview" zoomScale="85" zoomScaleNormal="100" zoomScaleSheetLayoutView="85" workbookViewId="0">
      <selection activeCell="A13" sqref="A13"/>
    </sheetView>
  </sheetViews>
  <sheetFormatPr defaultRowHeight="15" x14ac:dyDescent="0.25"/>
  <cols>
    <col min="1" max="1" width="3.42578125" bestFit="1" customWidth="1"/>
    <col min="2" max="2" width="45.140625" customWidth="1"/>
    <col min="3" max="3" width="37" customWidth="1"/>
  </cols>
  <sheetData>
    <row r="1" spans="1:3" ht="15.75" x14ac:dyDescent="0.25">
      <c r="A1" s="602" t="s">
        <v>268</v>
      </c>
      <c r="B1" s="602"/>
      <c r="C1" s="142"/>
    </row>
    <row r="2" spans="1:3" ht="15.75" x14ac:dyDescent="0.25">
      <c r="A2" s="603" t="s">
        <v>269</v>
      </c>
      <c r="B2" s="603"/>
      <c r="C2" s="603"/>
    </row>
    <row r="3" spans="1:3" ht="16.5" thickBot="1" x14ac:dyDescent="0.3">
      <c r="A3" s="147"/>
      <c r="B3" s="147"/>
      <c r="C3" s="147"/>
    </row>
    <row r="4" spans="1:3" ht="27" thickTop="1" x14ac:dyDescent="0.25">
      <c r="A4" s="148" t="s">
        <v>56</v>
      </c>
      <c r="B4" s="149" t="s">
        <v>9</v>
      </c>
      <c r="C4" s="150" t="s">
        <v>270</v>
      </c>
    </row>
    <row r="5" spans="1:3" x14ac:dyDescent="0.25">
      <c r="A5" s="151" t="s">
        <v>64</v>
      </c>
      <c r="B5" s="152" t="s">
        <v>223</v>
      </c>
      <c r="C5" s="153">
        <v>189376.13</v>
      </c>
    </row>
    <row r="6" spans="1:3" x14ac:dyDescent="0.25">
      <c r="A6" s="151" t="s">
        <v>66</v>
      </c>
      <c r="B6" s="152" t="s">
        <v>225</v>
      </c>
      <c r="C6" s="154">
        <f>SUM(C7:C7)</f>
        <v>0</v>
      </c>
    </row>
    <row r="7" spans="1:3" x14ac:dyDescent="0.25">
      <c r="A7" s="155" t="s">
        <v>74</v>
      </c>
      <c r="B7" s="156" t="s">
        <v>271</v>
      </c>
      <c r="C7" s="157">
        <v>0</v>
      </c>
    </row>
    <row r="8" spans="1:3" x14ac:dyDescent="0.25">
      <c r="A8" s="151" t="s">
        <v>68</v>
      </c>
      <c r="B8" s="152" t="s">
        <v>231</v>
      </c>
      <c r="C8" s="153">
        <f>SUM(C9:C9)</f>
        <v>25900.79</v>
      </c>
    </row>
    <row r="9" spans="1:3" s="164" customFormat="1" x14ac:dyDescent="0.25">
      <c r="A9" s="165" t="s">
        <v>74</v>
      </c>
      <c r="B9" s="156" t="s">
        <v>272</v>
      </c>
      <c r="C9" s="163">
        <f>10644+15256.79</f>
        <v>25900.79</v>
      </c>
    </row>
    <row r="10" spans="1:3" ht="15.75" thickBot="1" x14ac:dyDescent="0.3">
      <c r="A10" s="160" t="s">
        <v>70</v>
      </c>
      <c r="B10" s="161" t="s">
        <v>235</v>
      </c>
      <c r="C10" s="162">
        <f>(C5+C6-C8)</f>
        <v>163475.34</v>
      </c>
    </row>
    <row r="11" spans="1:3" ht="15.75" thickTop="1" x14ac:dyDescent="0.25"/>
  </sheetData>
  <mergeCells count="2">
    <mergeCell ref="A1:B1"/>
    <mergeCell ref="A2:C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zoomScale="85" zoomScaleNormal="100" zoomScaleSheetLayoutView="85" workbookViewId="0">
      <selection activeCell="A13" sqref="A13"/>
    </sheetView>
  </sheetViews>
  <sheetFormatPr defaultRowHeight="15" x14ac:dyDescent="0.25"/>
  <cols>
    <col min="1" max="1" width="3.5703125" style="142" customWidth="1"/>
    <col min="2" max="2" width="29" style="142" customWidth="1"/>
    <col min="3" max="3" width="14.5703125" style="142" customWidth="1"/>
    <col min="4" max="4" width="14.42578125" style="142" customWidth="1"/>
    <col min="5" max="5" width="14.28515625" style="142" customWidth="1"/>
    <col min="6" max="6" width="14.42578125" style="142" customWidth="1"/>
    <col min="7" max="7" width="14.5703125" style="142" customWidth="1"/>
  </cols>
  <sheetData>
    <row r="1" spans="1:7" ht="15.75" x14ac:dyDescent="0.25">
      <c r="A1" s="166" t="s">
        <v>273</v>
      </c>
    </row>
    <row r="2" spans="1:7" ht="15.75" x14ac:dyDescent="0.25">
      <c r="A2" s="167" t="s">
        <v>274</v>
      </c>
    </row>
    <row r="3" spans="1:7" ht="15.75" thickBot="1" x14ac:dyDescent="0.3"/>
    <row r="4" spans="1:7" ht="32.25" thickTop="1" x14ac:dyDescent="0.25">
      <c r="A4" s="168" t="s">
        <v>56</v>
      </c>
      <c r="B4" s="169" t="s">
        <v>9</v>
      </c>
      <c r="C4" s="170" t="s">
        <v>91</v>
      </c>
      <c r="D4" s="171" t="s">
        <v>275</v>
      </c>
      <c r="E4" s="171" t="s">
        <v>92</v>
      </c>
      <c r="F4" s="171" t="s">
        <v>100</v>
      </c>
      <c r="G4" s="172" t="s">
        <v>276</v>
      </c>
    </row>
    <row r="5" spans="1:7" x14ac:dyDescent="0.25">
      <c r="A5" s="173" t="s">
        <v>64</v>
      </c>
      <c r="B5" s="174" t="s">
        <v>223</v>
      </c>
      <c r="C5" s="175">
        <v>0</v>
      </c>
      <c r="D5" s="175">
        <v>0</v>
      </c>
      <c r="E5" s="175">
        <f>[1]Aktywa!E27</f>
        <v>0</v>
      </c>
      <c r="F5" s="175">
        <v>0</v>
      </c>
      <c r="G5" s="176">
        <f t="shared" ref="G5:G14" si="0">SUM(C5:F5)</f>
        <v>0</v>
      </c>
    </row>
    <row r="6" spans="1:7" x14ac:dyDescent="0.25">
      <c r="A6" s="173" t="s">
        <v>66</v>
      </c>
      <c r="B6" s="174" t="s">
        <v>225</v>
      </c>
      <c r="C6" s="175">
        <f>SUM(C7:C8)</f>
        <v>0</v>
      </c>
      <c r="D6" s="175">
        <f>SUM(D7:D8)</f>
        <v>0</v>
      </c>
      <c r="E6" s="175">
        <f>SUM(E7:E8)</f>
        <v>0</v>
      </c>
      <c r="F6" s="175">
        <f>SUM(F7:F8)</f>
        <v>0</v>
      </c>
      <c r="G6" s="176">
        <f t="shared" si="0"/>
        <v>0</v>
      </c>
    </row>
    <row r="7" spans="1:7" x14ac:dyDescent="0.25">
      <c r="A7" s="177" t="s">
        <v>74</v>
      </c>
      <c r="B7" s="178" t="s">
        <v>277</v>
      </c>
      <c r="C7" s="179">
        <v>0</v>
      </c>
      <c r="D7" s="179">
        <v>0</v>
      </c>
      <c r="E7" s="179">
        <f>G21</f>
        <v>0</v>
      </c>
      <c r="F7" s="179">
        <v>0</v>
      </c>
      <c r="G7" s="180">
        <f t="shared" si="0"/>
        <v>0</v>
      </c>
    </row>
    <row r="8" spans="1:7" x14ac:dyDescent="0.25">
      <c r="A8" s="177" t="s">
        <v>76</v>
      </c>
      <c r="B8" s="178" t="s">
        <v>278</v>
      </c>
      <c r="C8" s="179">
        <v>0</v>
      </c>
      <c r="D8" s="179">
        <v>0</v>
      </c>
      <c r="E8" s="179">
        <v>0</v>
      </c>
      <c r="F8" s="179">
        <v>0</v>
      </c>
      <c r="G8" s="180">
        <f t="shared" si="0"/>
        <v>0</v>
      </c>
    </row>
    <row r="9" spans="1:7" x14ac:dyDescent="0.25">
      <c r="A9" s="173" t="s">
        <v>68</v>
      </c>
      <c r="B9" s="174" t="s">
        <v>231</v>
      </c>
      <c r="C9" s="175">
        <f>SUM(C10:C13)</f>
        <v>0</v>
      </c>
      <c r="D9" s="175">
        <f>SUM(D10:D13)</f>
        <v>0</v>
      </c>
      <c r="E9" s="175">
        <f>SUM(E10:E13)</f>
        <v>0</v>
      </c>
      <c r="F9" s="175">
        <f>SUM(F10:F13)</f>
        <v>0</v>
      </c>
      <c r="G9" s="176">
        <f t="shared" si="0"/>
        <v>0</v>
      </c>
    </row>
    <row r="10" spans="1:7" x14ac:dyDescent="0.25">
      <c r="A10" s="177" t="s">
        <v>74</v>
      </c>
      <c r="B10" s="178" t="s">
        <v>232</v>
      </c>
      <c r="C10" s="179">
        <v>0</v>
      </c>
      <c r="D10" s="179">
        <v>0</v>
      </c>
      <c r="E10" s="179">
        <f>G24</f>
        <v>0</v>
      </c>
      <c r="F10" s="179">
        <v>0</v>
      </c>
      <c r="G10" s="180">
        <f t="shared" si="0"/>
        <v>0</v>
      </c>
    </row>
    <row r="11" spans="1:7" x14ac:dyDescent="0.25">
      <c r="A11" s="177" t="s">
        <v>76</v>
      </c>
      <c r="B11" s="178" t="s">
        <v>233</v>
      </c>
      <c r="C11" s="179">
        <v>0</v>
      </c>
      <c r="D11" s="179">
        <v>0</v>
      </c>
      <c r="E11" s="179">
        <v>0</v>
      </c>
      <c r="F11" s="179">
        <v>0</v>
      </c>
      <c r="G11" s="180">
        <f t="shared" si="0"/>
        <v>0</v>
      </c>
    </row>
    <row r="12" spans="1:7" x14ac:dyDescent="0.25">
      <c r="A12" s="177" t="s">
        <v>78</v>
      </c>
      <c r="B12" s="178" t="s">
        <v>241</v>
      </c>
      <c r="C12" s="179">
        <v>0</v>
      </c>
      <c r="D12" s="179">
        <v>0</v>
      </c>
      <c r="E12" s="179">
        <v>0</v>
      </c>
      <c r="F12" s="179">
        <v>0</v>
      </c>
      <c r="G12" s="180">
        <f t="shared" si="0"/>
        <v>0</v>
      </c>
    </row>
    <row r="13" spans="1:7" x14ac:dyDescent="0.25">
      <c r="A13" s="177" t="s">
        <v>80</v>
      </c>
      <c r="B13" s="178" t="s">
        <v>115</v>
      </c>
      <c r="C13" s="179">
        <v>0</v>
      </c>
      <c r="D13" s="179">
        <v>0</v>
      </c>
      <c r="E13" s="179">
        <v>0</v>
      </c>
      <c r="F13" s="179">
        <v>0</v>
      </c>
      <c r="G13" s="180">
        <f t="shared" si="0"/>
        <v>0</v>
      </c>
    </row>
    <row r="14" spans="1:7" ht="15.75" thickBot="1" x14ac:dyDescent="0.3">
      <c r="A14" s="181" t="s">
        <v>70</v>
      </c>
      <c r="B14" s="182" t="s">
        <v>235</v>
      </c>
      <c r="C14" s="183">
        <f>+C5+C6-C9</f>
        <v>0</v>
      </c>
      <c r="D14" s="183">
        <f>+D5+D6-D9</f>
        <v>0</v>
      </c>
      <c r="E14" s="183">
        <f>+E5+E6-E9</f>
        <v>0</v>
      </c>
      <c r="F14" s="183">
        <f>+F5+F6-F9</f>
        <v>0</v>
      </c>
      <c r="G14" s="184">
        <f t="shared" si="0"/>
        <v>0</v>
      </c>
    </row>
    <row r="15" spans="1:7" ht="15.75" thickTop="1" x14ac:dyDescent="0.25"/>
    <row r="16" spans="1:7" ht="15.75" x14ac:dyDescent="0.25">
      <c r="A16" s="604" t="s">
        <v>279</v>
      </c>
      <c r="B16" s="604"/>
      <c r="C16" s="604"/>
      <c r="D16" s="604"/>
      <c r="E16" s="604"/>
      <c r="F16" s="604"/>
      <c r="G16" s="604"/>
    </row>
    <row r="17" spans="1:7" ht="16.5" thickBot="1" x14ac:dyDescent="0.3">
      <c r="A17" s="185"/>
      <c r="B17" s="185"/>
      <c r="C17" s="185"/>
      <c r="D17" s="185"/>
      <c r="E17" s="185"/>
      <c r="F17" s="185"/>
      <c r="G17" s="185"/>
    </row>
    <row r="18" spans="1:7" ht="32.25" thickTop="1" x14ac:dyDescent="0.25">
      <c r="A18" s="168" t="s">
        <v>56</v>
      </c>
      <c r="B18" s="169" t="s">
        <v>9</v>
      </c>
      <c r="C18" s="170" t="s">
        <v>280</v>
      </c>
      <c r="D18" s="171" t="s">
        <v>281</v>
      </c>
      <c r="E18" s="171" t="s">
        <v>282</v>
      </c>
      <c r="F18" s="171" t="s">
        <v>283</v>
      </c>
      <c r="G18" s="186" t="s">
        <v>255</v>
      </c>
    </row>
    <row r="19" spans="1:7" x14ac:dyDescent="0.25">
      <c r="A19" s="173" t="s">
        <v>64</v>
      </c>
      <c r="B19" s="174" t="s">
        <v>223</v>
      </c>
      <c r="C19" s="175">
        <f>[1]Aktywa!E24</f>
        <v>0</v>
      </c>
      <c r="D19" s="175">
        <v>0</v>
      </c>
      <c r="E19" s="175">
        <v>0</v>
      </c>
      <c r="F19" s="175">
        <v>0</v>
      </c>
      <c r="G19" s="176">
        <f t="shared" ref="G19:G29" si="1">SUM(C19:F19)</f>
        <v>0</v>
      </c>
    </row>
    <row r="20" spans="1:7" x14ac:dyDescent="0.25">
      <c r="A20" s="173" t="s">
        <v>66</v>
      </c>
      <c r="B20" s="174" t="s">
        <v>225</v>
      </c>
      <c r="C20" s="175">
        <f>SUM(C21:C22)</f>
        <v>0</v>
      </c>
      <c r="D20" s="175">
        <f>SUM(D21:D22)</f>
        <v>0</v>
      </c>
      <c r="E20" s="175">
        <f>SUM(E21:E22)</f>
        <v>0</v>
      </c>
      <c r="F20" s="175">
        <f>SUM(F21:F22)</f>
        <v>0</v>
      </c>
      <c r="G20" s="176">
        <f t="shared" si="1"/>
        <v>0</v>
      </c>
    </row>
    <row r="21" spans="1:7" x14ac:dyDescent="0.25">
      <c r="A21" s="177" t="s">
        <v>74</v>
      </c>
      <c r="B21" s="178" t="s">
        <v>277</v>
      </c>
      <c r="C21" s="179">
        <v>0</v>
      </c>
      <c r="D21" s="179">
        <v>0</v>
      </c>
      <c r="E21" s="179">
        <v>0</v>
      </c>
      <c r="F21" s="179">
        <v>0</v>
      </c>
      <c r="G21" s="180">
        <f t="shared" si="1"/>
        <v>0</v>
      </c>
    </row>
    <row r="22" spans="1:7" x14ac:dyDescent="0.25">
      <c r="A22" s="177" t="s">
        <v>76</v>
      </c>
      <c r="B22" s="178" t="s">
        <v>278</v>
      </c>
      <c r="C22" s="179">
        <v>0</v>
      </c>
      <c r="D22" s="179">
        <v>0</v>
      </c>
      <c r="E22" s="179">
        <v>0</v>
      </c>
      <c r="F22" s="179">
        <v>0</v>
      </c>
      <c r="G22" s="180">
        <f t="shared" si="1"/>
        <v>0</v>
      </c>
    </row>
    <row r="23" spans="1:7" x14ac:dyDescent="0.25">
      <c r="A23" s="173" t="s">
        <v>68</v>
      </c>
      <c r="B23" s="174" t="s">
        <v>231</v>
      </c>
      <c r="C23" s="175">
        <f>SUM(C24:C28)</f>
        <v>0</v>
      </c>
      <c r="D23" s="175">
        <f>SUM(D24:D28)</f>
        <v>0</v>
      </c>
      <c r="E23" s="175">
        <f>SUM(E24:E28)</f>
        <v>0</v>
      </c>
      <c r="F23" s="175">
        <f>SUM(F24:F28)</f>
        <v>0</v>
      </c>
      <c r="G23" s="176">
        <f t="shared" si="1"/>
        <v>0</v>
      </c>
    </row>
    <row r="24" spans="1:7" x14ac:dyDescent="0.25">
      <c r="A24" s="177" t="s">
        <v>74</v>
      </c>
      <c r="B24" s="178" t="s">
        <v>232</v>
      </c>
      <c r="C24" s="179">
        <v>0</v>
      </c>
      <c r="D24" s="179">
        <v>0</v>
      </c>
      <c r="E24" s="179">
        <v>0</v>
      </c>
      <c r="F24" s="179">
        <v>0</v>
      </c>
      <c r="G24" s="180">
        <f t="shared" si="1"/>
        <v>0</v>
      </c>
    </row>
    <row r="25" spans="1:7" x14ac:dyDescent="0.25">
      <c r="A25" s="177" t="s">
        <v>76</v>
      </c>
      <c r="B25" s="178" t="s">
        <v>284</v>
      </c>
      <c r="C25" s="179">
        <v>0</v>
      </c>
      <c r="D25" s="179">
        <v>0</v>
      </c>
      <c r="E25" s="179">
        <v>0</v>
      </c>
      <c r="F25" s="179">
        <v>0</v>
      </c>
      <c r="G25" s="180">
        <f t="shared" si="1"/>
        <v>0</v>
      </c>
    </row>
    <row r="26" spans="1:7" x14ac:dyDescent="0.25">
      <c r="A26" s="177" t="s">
        <v>78</v>
      </c>
      <c r="B26" s="178" t="s">
        <v>233</v>
      </c>
      <c r="C26" s="179">
        <v>0</v>
      </c>
      <c r="D26" s="179">
        <v>0</v>
      </c>
      <c r="E26" s="179">
        <v>0</v>
      </c>
      <c r="F26" s="179">
        <v>0</v>
      </c>
      <c r="G26" s="180">
        <f t="shared" si="1"/>
        <v>0</v>
      </c>
    </row>
    <row r="27" spans="1:7" x14ac:dyDescent="0.25">
      <c r="A27" s="177" t="s">
        <v>80</v>
      </c>
      <c r="B27" s="178" t="s">
        <v>241</v>
      </c>
      <c r="C27" s="179">
        <v>0</v>
      </c>
      <c r="D27" s="179">
        <v>0</v>
      </c>
      <c r="E27" s="179">
        <v>0</v>
      </c>
      <c r="F27" s="179">
        <v>0</v>
      </c>
      <c r="G27" s="180">
        <f t="shared" si="1"/>
        <v>0</v>
      </c>
    </row>
    <row r="28" spans="1:7" x14ac:dyDescent="0.25">
      <c r="A28" s="177" t="s">
        <v>82</v>
      </c>
      <c r="B28" s="178" t="s">
        <v>115</v>
      </c>
      <c r="C28" s="179">
        <v>0</v>
      </c>
      <c r="D28" s="179">
        <v>0</v>
      </c>
      <c r="E28" s="179">
        <v>0</v>
      </c>
      <c r="F28" s="179">
        <v>0</v>
      </c>
      <c r="G28" s="180">
        <f t="shared" si="1"/>
        <v>0</v>
      </c>
    </row>
    <row r="29" spans="1:7" ht="15.75" thickBot="1" x14ac:dyDescent="0.3">
      <c r="A29" s="181" t="s">
        <v>70</v>
      </c>
      <c r="B29" s="182" t="s">
        <v>235</v>
      </c>
      <c r="C29" s="183">
        <f>+C19+C20-C23</f>
        <v>0</v>
      </c>
      <c r="D29" s="183">
        <f>+D19+D20-D23</f>
        <v>0</v>
      </c>
      <c r="E29" s="183">
        <f>+E19+E20-E23</f>
        <v>0</v>
      </c>
      <c r="F29" s="183">
        <f>+F19+F20-F23</f>
        <v>0</v>
      </c>
      <c r="G29" s="184">
        <f t="shared" si="1"/>
        <v>0</v>
      </c>
    </row>
    <row r="30" spans="1:7" ht="15.75" thickTop="1" x14ac:dyDescent="0.25"/>
  </sheetData>
  <mergeCells count="1">
    <mergeCell ref="A16:G16"/>
  </mergeCells>
  <pageMargins left="0.7" right="0.7" top="0.75" bottom="0.75" header="0.3" footer="0.3"/>
  <pageSetup paperSize="9" scale="8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4.5703125" style="142" customWidth="1"/>
    <col min="2" max="2" width="29.28515625" style="142" customWidth="1"/>
    <col min="3" max="3" width="15.28515625" style="142" customWidth="1"/>
    <col min="4" max="4" width="21" style="142" customWidth="1"/>
    <col min="5" max="5" width="18.28515625" style="142" customWidth="1"/>
  </cols>
  <sheetData>
    <row r="1" spans="1:5" ht="15.75" x14ac:dyDescent="0.25">
      <c r="A1" s="605" t="s">
        <v>285</v>
      </c>
      <c r="B1" s="605"/>
      <c r="C1" s="605"/>
      <c r="D1" s="605"/>
      <c r="E1" s="605"/>
    </row>
    <row r="2" spans="1:5" ht="15.75" thickBot="1" x14ac:dyDescent="0.3">
      <c r="A2" s="187"/>
      <c r="B2" s="187"/>
      <c r="C2" s="187"/>
      <c r="D2" s="187"/>
      <c r="E2" s="187"/>
    </row>
    <row r="3" spans="1:5" ht="24.75" thickTop="1" x14ac:dyDescent="0.25">
      <c r="A3" s="188" t="s">
        <v>56</v>
      </c>
      <c r="B3" s="189" t="s">
        <v>286</v>
      </c>
      <c r="C3" s="190" t="s">
        <v>287</v>
      </c>
      <c r="D3" s="190" t="s">
        <v>288</v>
      </c>
      <c r="E3" s="191" t="s">
        <v>289</v>
      </c>
    </row>
    <row r="4" spans="1:5" ht="24" x14ac:dyDescent="0.25">
      <c r="A4" s="192" t="s">
        <v>290</v>
      </c>
      <c r="B4" s="193" t="s">
        <v>291</v>
      </c>
      <c r="C4" s="194" t="s">
        <v>292</v>
      </c>
      <c r="D4" s="194" t="s">
        <v>293</v>
      </c>
      <c r="E4" s="195" t="s">
        <v>293</v>
      </c>
    </row>
    <row r="5" spans="1:5" ht="26.25" thickBot="1" x14ac:dyDescent="0.3">
      <c r="A5" s="196" t="s">
        <v>294</v>
      </c>
      <c r="B5" s="197" t="s">
        <v>295</v>
      </c>
      <c r="C5" s="198" t="s">
        <v>296</v>
      </c>
      <c r="D5" s="199">
        <v>1</v>
      </c>
      <c r="E5" s="200">
        <v>1</v>
      </c>
    </row>
    <row r="6" spans="1:5" ht="15.75" thickTop="1" x14ac:dyDescent="0.25"/>
  </sheetData>
  <mergeCells count="1">
    <mergeCell ref="A1:E1"/>
  </mergeCells>
  <pageMargins left="0.7" right="0.7" top="0.75" bottom="0.75" header="0.3" footer="0.3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view="pageBreakPreview" zoomScale="85" zoomScaleNormal="100" zoomScaleSheetLayoutView="85" workbookViewId="0">
      <selection activeCell="D22" sqref="D22"/>
    </sheetView>
  </sheetViews>
  <sheetFormatPr defaultRowHeight="15" x14ac:dyDescent="0.25"/>
  <cols>
    <col min="1" max="1" width="3.5703125" style="142" customWidth="1"/>
    <col min="2" max="2" width="46.85546875" style="142" customWidth="1"/>
    <col min="3" max="4" width="14.5703125" style="142" customWidth="1"/>
  </cols>
  <sheetData>
    <row r="1" spans="1:4" ht="15.75" x14ac:dyDescent="0.25">
      <c r="A1" s="166" t="s">
        <v>297</v>
      </c>
    </row>
    <row r="2" spans="1:4" ht="15.75" customHeight="1" x14ac:dyDescent="0.25">
      <c r="A2" s="604" t="s">
        <v>298</v>
      </c>
      <c r="B2" s="604"/>
      <c r="C2" s="604"/>
      <c r="D2" s="604"/>
    </row>
    <row r="3" spans="1:4" ht="16.5" thickBot="1" x14ac:dyDescent="0.3">
      <c r="A3" s="492"/>
      <c r="B3" s="201"/>
      <c r="C3" s="201"/>
      <c r="D3" s="201"/>
    </row>
    <row r="4" spans="1:4" ht="26.25" thickTop="1" x14ac:dyDescent="0.25">
      <c r="A4" s="202" t="s">
        <v>56</v>
      </c>
      <c r="B4" s="203" t="s">
        <v>299</v>
      </c>
      <c r="C4" s="203" t="s">
        <v>300</v>
      </c>
      <c r="D4" s="204" t="s">
        <v>301</v>
      </c>
    </row>
    <row r="5" spans="1:4" x14ac:dyDescent="0.25">
      <c r="A5" s="205" t="s">
        <v>290</v>
      </c>
      <c r="B5" s="206" t="s">
        <v>302</v>
      </c>
      <c r="C5" s="206">
        <v>0</v>
      </c>
      <c r="D5" s="207">
        <v>0</v>
      </c>
    </row>
    <row r="6" spans="1:4" x14ac:dyDescent="0.25">
      <c r="A6" s="205" t="s">
        <v>303</v>
      </c>
      <c r="B6" s="206" t="s">
        <v>304</v>
      </c>
      <c r="C6" s="206">
        <v>0</v>
      </c>
      <c r="D6" s="207">
        <v>0</v>
      </c>
    </row>
    <row r="7" spans="1:4" x14ac:dyDescent="0.25">
      <c r="A7" s="205" t="s">
        <v>305</v>
      </c>
      <c r="B7" s="208" t="s">
        <v>306</v>
      </c>
      <c r="C7" s="209">
        <f>[1]ZOiS_2020!O77</f>
        <v>45000000</v>
      </c>
      <c r="D7" s="210">
        <v>20132000</v>
      </c>
    </row>
    <row r="8" spans="1:4" x14ac:dyDescent="0.25">
      <c r="A8" s="205" t="s">
        <v>307</v>
      </c>
      <c r="B8" s="206" t="s">
        <v>308</v>
      </c>
      <c r="C8" s="206">
        <v>0</v>
      </c>
      <c r="D8" s="207">
        <v>0</v>
      </c>
    </row>
    <row r="9" spans="1:4" x14ac:dyDescent="0.25">
      <c r="A9" s="205" t="s">
        <v>309</v>
      </c>
      <c r="B9" s="206" t="s">
        <v>310</v>
      </c>
      <c r="C9" s="209">
        <f>C10+C11+C12+C14+C13</f>
        <v>49573816.910000004</v>
      </c>
      <c r="D9" s="207">
        <f>D10+D11+D12+D14+D13</f>
        <v>40018058.339999996</v>
      </c>
    </row>
    <row r="10" spans="1:4" x14ac:dyDescent="0.25">
      <c r="A10" s="211" t="s">
        <v>311</v>
      </c>
      <c r="B10" s="212" t="s">
        <v>312</v>
      </c>
      <c r="C10" s="212">
        <f>[1]ZOiS_2020!O51+[1]ZOiS_2020!O52+[1]ZOiS_2020!O53+[1]ZOiS_2020!O55+[1]ZOiS_2020!O56+[1]ZOiS_2020!O57+[1]ZOiS_2020!O59+[1]ZOiS_2020!O60+[1]ZOiS_2020!O61+[1]ZOiS_2020!O62+[1]ZOiS_2020!O63+[1]ZOiS_2020!O65+[1]ZOiS_2020!O66+10498</f>
        <v>47729479.82</v>
      </c>
      <c r="D10" s="213">
        <f>34693112.33+10823.62</f>
        <v>34703935.949999996</v>
      </c>
    </row>
    <row r="11" spans="1:4" x14ac:dyDescent="0.25">
      <c r="A11" s="211" t="s">
        <v>76</v>
      </c>
      <c r="B11" s="212" t="s">
        <v>313</v>
      </c>
      <c r="C11" s="212">
        <f>[1]ZOiS_2020!O67+5498.64</f>
        <v>310863.74</v>
      </c>
      <c r="D11" s="213">
        <f>168323.58+8556.4</f>
        <v>176879.97999999998</v>
      </c>
    </row>
    <row r="12" spans="1:4" x14ac:dyDescent="0.25">
      <c r="A12" s="211" t="s">
        <v>78</v>
      </c>
      <c r="B12" s="212" t="s">
        <v>314</v>
      </c>
      <c r="C12" s="212">
        <f>[1]ZOiS_2020!O54+[1]ZOiS_2020!O58+[1]ZOiS_2020!O64+18340.66</f>
        <v>276658.83</v>
      </c>
      <c r="D12" s="213">
        <f>325304.72+482900.48</f>
        <v>808205.2</v>
      </c>
    </row>
    <row r="13" spans="1:4" x14ac:dyDescent="0.25">
      <c r="A13" s="211" t="s">
        <v>80</v>
      </c>
      <c r="B13" s="212" t="s">
        <v>546</v>
      </c>
      <c r="C13" s="212">
        <v>1250576.17</v>
      </c>
      <c r="D13" s="213">
        <v>4306735.8499999996</v>
      </c>
    </row>
    <row r="14" spans="1:4" x14ac:dyDescent="0.25">
      <c r="A14" s="211" t="s">
        <v>82</v>
      </c>
      <c r="B14" s="212" t="s">
        <v>315</v>
      </c>
      <c r="C14" s="212">
        <f>[1]ZOiS_2020!O82</f>
        <v>6238.35</v>
      </c>
      <c r="D14" s="213">
        <f>22301.36</f>
        <v>22301.360000000001</v>
      </c>
    </row>
    <row r="15" spans="1:4" ht="15.75" thickBot="1" x14ac:dyDescent="0.3">
      <c r="A15" s="214"/>
      <c r="B15" s="215" t="s">
        <v>255</v>
      </c>
      <c r="C15" s="215">
        <f>C5+C6+C8+C9+C7</f>
        <v>94573816.909999996</v>
      </c>
      <c r="D15" s="216">
        <f>D5+D6+D8+D9+D7</f>
        <v>60150058.339999996</v>
      </c>
    </row>
    <row r="16" spans="1:4" ht="16.5" thickTop="1" x14ac:dyDescent="0.25">
      <c r="A16" s="492"/>
      <c r="B16" s="492"/>
      <c r="C16" s="492"/>
      <c r="D16" s="492"/>
    </row>
    <row r="17" spans="1:4" ht="15.75" x14ac:dyDescent="0.25">
      <c r="A17" s="492"/>
      <c r="B17" s="492"/>
      <c r="C17" s="492"/>
      <c r="D17" s="492"/>
    </row>
    <row r="22" spans="1:4" x14ac:dyDescent="0.25">
      <c r="C22" s="217"/>
      <c r="D22" s="217"/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</vt:i4>
      </vt:variant>
      <vt:variant>
        <vt:lpstr>Zakresy nazwane</vt:lpstr>
      </vt:variant>
      <vt:variant>
        <vt:i4>5</vt:i4>
      </vt:variant>
    </vt:vector>
  </HeadingPairs>
  <TitlesOfParts>
    <vt:vector size="24" baseType="lpstr">
      <vt:lpstr>Nota 1</vt:lpstr>
      <vt:lpstr>Nota 2</vt:lpstr>
      <vt:lpstr>Nota 2_cd</vt:lpstr>
      <vt:lpstr>Nota 3</vt:lpstr>
      <vt:lpstr>Nota 4</vt:lpstr>
      <vt:lpstr>Nota 5</vt:lpstr>
      <vt:lpstr>Nota 6</vt:lpstr>
      <vt:lpstr>Nota 6_cd</vt:lpstr>
      <vt:lpstr>Nota 7</vt:lpstr>
      <vt:lpstr>Nota 8</vt:lpstr>
      <vt:lpstr>Nota 9</vt:lpstr>
      <vt:lpstr>Nota 10</vt:lpstr>
      <vt:lpstr>Nota 11, 12</vt:lpstr>
      <vt:lpstr>Nota 13</vt:lpstr>
      <vt:lpstr>Nota 14, 15</vt:lpstr>
      <vt:lpstr>Nota 16</vt:lpstr>
      <vt:lpstr>Nota 17</vt:lpstr>
      <vt:lpstr>Nota 18</vt:lpstr>
      <vt:lpstr>Nota 19, 20</vt:lpstr>
      <vt:lpstr>'Nota 1'!Obszar_wydruku</vt:lpstr>
      <vt:lpstr>'Nota 18'!Obszar_wydruku</vt:lpstr>
      <vt:lpstr>'Nota 2'!Obszar_wydruku</vt:lpstr>
      <vt:lpstr>'Nota 4'!Obszar_wydruku</vt:lpstr>
      <vt:lpstr>'Nota 7'!Obszar_wydruku</vt:lpstr>
    </vt:vector>
  </TitlesOfParts>
  <Company>Exatel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Wołowicz Joanna</dc:creator>
  <cp:lastModifiedBy>Kiełbasa Wioletta</cp:lastModifiedBy>
  <cp:lastPrinted>2021-03-30T12:13:31Z</cp:lastPrinted>
  <dcterms:created xsi:type="dcterms:W3CDTF">2021-03-30T11:22:14Z</dcterms:created>
  <dcterms:modified xsi:type="dcterms:W3CDTF">2021-03-30T14:53:33Z</dcterms:modified>
</cp:coreProperties>
</file>